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imuraz\Dropbox\ИБДА\Преподавание\Управление стоимостью\Магнит практика\"/>
    </mc:Choice>
  </mc:AlternateContent>
  <bookViews>
    <workbookView xWindow="0" yWindow="0" windowWidth="15360" windowHeight="7755" tabRatio="885" firstSheet="1" activeTab="4"/>
  </bookViews>
  <sheets>
    <sheet name="Оглавление" sheetId="22" r:id="rId1"/>
    <sheet name="Допущения" sheetId="21" r:id="rId2"/>
    <sheet name="Операционный блок" sheetId="23" r:id="rId3"/>
    <sheet name="Финансовый блок" sheetId="25" r:id="rId4"/>
    <sheet name="Оценка по DCF" sheetId="26" r:id="rId5"/>
    <sheet name="Аналитический блок" sheetId="27" r:id="rId6"/>
  </sheets>
  <externalReferences>
    <externalReference r:id="rId7"/>
  </externalReferences>
  <definedNames>
    <definedName name="EVSalesСделки">'[1]Анализ Сделок'!$E$12</definedName>
    <definedName name="Re">'[1]Аналитический блок'!$C$57</definedName>
    <definedName name="Бета">'[1]Анализ Аналогов'!$I$17</definedName>
  </definedNames>
  <calcPr calcId="152511" fullPrecision="0"/>
</workbook>
</file>

<file path=xl/calcChain.xml><?xml version="1.0" encoding="utf-8"?>
<calcChain xmlns="http://schemas.openxmlformats.org/spreadsheetml/2006/main">
  <c r="C24" i="26" l="1"/>
  <c r="I10" i="27"/>
  <c r="J10" i="27"/>
  <c r="K10" i="27"/>
  <c r="L10" i="27"/>
  <c r="H10" i="27"/>
  <c r="I9" i="27"/>
  <c r="J9" i="27"/>
  <c r="K9" i="27"/>
  <c r="L9" i="27"/>
  <c r="H9" i="27"/>
  <c r="I7" i="27"/>
  <c r="J7" i="27"/>
  <c r="K7" i="27"/>
  <c r="L7" i="27"/>
  <c r="H7" i="27"/>
  <c r="B31" i="25"/>
  <c r="B30" i="25"/>
  <c r="B27" i="25"/>
  <c r="B26" i="25"/>
  <c r="B23" i="25"/>
  <c r="B22" i="25"/>
  <c r="B19" i="25"/>
  <c r="B18" i="25"/>
  <c r="G14" i="23"/>
  <c r="F12" i="23"/>
  <c r="G12" i="23" l="1"/>
  <c r="F16" i="23"/>
  <c r="E6" i="27" l="1"/>
  <c r="F6" i="27"/>
  <c r="G6" i="27"/>
  <c r="D6" i="27"/>
  <c r="D2" i="27"/>
  <c r="I8" i="25" l="1"/>
  <c r="I7" i="25"/>
  <c r="F30" i="25"/>
  <c r="F8" i="25" s="1"/>
  <c r="G30" i="25"/>
  <c r="G8" i="25" s="1"/>
  <c r="H30" i="25"/>
  <c r="H8" i="25" s="1"/>
  <c r="I30" i="25"/>
  <c r="E30" i="25"/>
  <c r="E8" i="25" s="1"/>
  <c r="F26" i="25"/>
  <c r="F7" i="25" s="1"/>
  <c r="G26" i="25"/>
  <c r="G7" i="25" s="1"/>
  <c r="H26" i="25"/>
  <c r="H7" i="25" s="1"/>
  <c r="I26" i="25"/>
  <c r="E26" i="25"/>
  <c r="E7" i="25" s="1"/>
  <c r="E40" i="26" l="1"/>
  <c r="E38" i="26"/>
  <c r="H37" i="26"/>
  <c r="F37" i="26"/>
  <c r="E24" i="23" l="1"/>
  <c r="F24" i="23"/>
  <c r="D24" i="23"/>
  <c r="E33" i="26" l="1"/>
  <c r="E31" i="26"/>
  <c r="F30" i="26"/>
  <c r="H30" i="26"/>
  <c r="D45" i="25"/>
  <c r="D35" i="25"/>
  <c r="F6" i="25"/>
  <c r="G6" i="25"/>
  <c r="H6" i="25"/>
  <c r="I6" i="25"/>
  <c r="E6" i="25"/>
  <c r="D40" i="23" l="1"/>
  <c r="E40" i="23"/>
  <c r="F40" i="23"/>
  <c r="C40" i="23"/>
  <c r="C34" i="23"/>
  <c r="D34" i="23"/>
  <c r="E34" i="23"/>
  <c r="F34" i="23"/>
  <c r="D28" i="23"/>
  <c r="E28" i="23"/>
  <c r="F28" i="23"/>
  <c r="C28" i="23"/>
  <c r="G23" i="23"/>
  <c r="H23" i="23" s="1"/>
  <c r="I23" i="23" s="1"/>
  <c r="J23" i="23" s="1"/>
  <c r="K23" i="23" s="1"/>
  <c r="F17" i="23"/>
  <c r="G17" i="23" s="1"/>
  <c r="H17" i="23" s="1"/>
  <c r="I17" i="23" s="1"/>
  <c r="J17" i="23" s="1"/>
  <c r="K17" i="23" s="1"/>
  <c r="F15" i="23"/>
  <c r="H14" i="23"/>
  <c r="I14" i="23"/>
  <c r="J14" i="23"/>
  <c r="K14" i="23"/>
  <c r="H7" i="23"/>
  <c r="I7" i="23"/>
  <c r="J7" i="23"/>
  <c r="K7" i="23"/>
  <c r="G7" i="23"/>
  <c r="E18" i="25" l="1"/>
  <c r="E4" i="25" s="1"/>
  <c r="H3" i="27"/>
  <c r="I18" i="25"/>
  <c r="I4" i="25" s="1"/>
  <c r="L3" i="27"/>
  <c r="H18" i="25"/>
  <c r="H4" i="25" s="1"/>
  <c r="K3" i="27"/>
  <c r="G18" i="25"/>
  <c r="G4" i="25" s="1"/>
  <c r="J3" i="27"/>
  <c r="F18" i="25"/>
  <c r="F4" i="25" s="1"/>
  <c r="I3" i="27"/>
  <c r="H12" i="23"/>
  <c r="I12" i="23" s="1"/>
  <c r="J12" i="23" s="1"/>
  <c r="K12" i="23" s="1"/>
  <c r="K9" i="23" s="1"/>
  <c r="N10" i="21"/>
  <c r="J9" i="23" l="1"/>
  <c r="J11" i="23" s="1"/>
  <c r="I9" i="23"/>
  <c r="H9" i="23"/>
  <c r="G9" i="23"/>
  <c r="K11" i="23"/>
  <c r="K16" i="23" l="1"/>
  <c r="J16" i="23"/>
  <c r="I11" i="23"/>
  <c r="H11" i="23"/>
  <c r="G11" i="23"/>
  <c r="D2" i="23"/>
  <c r="E2" i="23" l="1"/>
  <c r="E2" i="27"/>
  <c r="G16" i="23"/>
  <c r="I16" i="23"/>
  <c r="H16" i="23"/>
  <c r="E47" i="25"/>
  <c r="F2" i="23" l="1"/>
  <c r="F2" i="27"/>
  <c r="C20" i="23"/>
  <c r="C30" i="23" s="1"/>
  <c r="C36" i="23" l="1"/>
  <c r="G2" i="27"/>
  <c r="M42" i="23"/>
  <c r="M33" i="23"/>
  <c r="M4" i="23"/>
  <c r="M39" i="23"/>
  <c r="M9" i="23"/>
  <c r="M23" i="23"/>
  <c r="G6" i="21"/>
  <c r="M27" i="23"/>
  <c r="E1" i="26"/>
  <c r="F1" i="26" s="1"/>
  <c r="G1" i="26" s="1"/>
  <c r="H1" i="26" s="1"/>
  <c r="C21" i="26"/>
  <c r="F47" i="25"/>
  <c r="G47" i="25" s="1"/>
  <c r="H47" i="25" s="1"/>
  <c r="I47" i="25" s="1"/>
  <c r="F57" i="25"/>
  <c r="G57" i="25" s="1"/>
  <c r="H57" i="25" s="1"/>
  <c r="I57" i="25" s="1"/>
  <c r="F42" i="25"/>
  <c r="G42" i="25" s="1"/>
  <c r="H42" i="25" s="1"/>
  <c r="I42" i="25" s="1"/>
  <c r="F33" i="25"/>
  <c r="G33" i="25" s="1"/>
  <c r="H33" i="25" s="1"/>
  <c r="I33" i="25" s="1"/>
  <c r="H18" i="26" l="1"/>
  <c r="C37" i="26" s="1"/>
  <c r="E51" i="25"/>
  <c r="F51" i="25" s="1"/>
  <c r="G51" i="25" s="1"/>
  <c r="H51" i="25" s="1"/>
  <c r="I51" i="25" s="1"/>
  <c r="E50" i="25"/>
  <c r="F50" i="25" s="1"/>
  <c r="H19" i="26"/>
  <c r="C38" i="26" s="1"/>
  <c r="C15" i="26"/>
  <c r="D53" i="25"/>
  <c r="C31" i="23"/>
  <c r="D4" i="27" s="1"/>
  <c r="F37" i="25" l="1"/>
  <c r="E37" i="25"/>
  <c r="C16" i="26"/>
  <c r="C20" i="26" s="1"/>
  <c r="C22" i="26"/>
  <c r="C23" i="26" s="1"/>
  <c r="G50" i="25"/>
  <c r="K8" i="21" l="1"/>
  <c r="H8" i="27"/>
  <c r="I8" i="27" s="1"/>
  <c r="J8" i="27" s="1"/>
  <c r="K8" i="27" s="1"/>
  <c r="L8" i="27" s="1"/>
  <c r="G37" i="25"/>
  <c r="D48" i="25"/>
  <c r="D55" i="25" s="1"/>
  <c r="H50" i="25"/>
  <c r="D44" i="23"/>
  <c r="E44" i="23"/>
  <c r="F44" i="23"/>
  <c r="H37" i="25" l="1"/>
  <c r="D10" i="26"/>
  <c r="H10" i="26"/>
  <c r="G10" i="26"/>
  <c r="F10" i="26"/>
  <c r="E10" i="26"/>
  <c r="I50" i="25"/>
  <c r="I37" i="25" s="1"/>
  <c r="G2" i="23"/>
  <c r="E2" i="25" l="1"/>
  <c r="D2" i="26"/>
  <c r="H2" i="27" s="1"/>
  <c r="H2" i="23"/>
  <c r="F2" i="25" l="1"/>
  <c r="E2" i="26"/>
  <c r="I2" i="27" s="1"/>
  <c r="I2" i="23"/>
  <c r="F2" i="26" l="1"/>
  <c r="J2" i="27" s="1"/>
  <c r="G2" i="25"/>
  <c r="J2" i="23"/>
  <c r="G2" i="26" l="1"/>
  <c r="K2" i="27" s="1"/>
  <c r="H2" i="25"/>
  <c r="K2" i="23"/>
  <c r="H2" i="26" l="1"/>
  <c r="L2" i="27" s="1"/>
  <c r="I2" i="25"/>
  <c r="K6" i="21"/>
  <c r="N23" i="23"/>
  <c r="N9" i="23"/>
  <c r="D43" i="23"/>
  <c r="E43" i="23"/>
  <c r="E20" i="23"/>
  <c r="E30" i="23" s="1"/>
  <c r="E7" i="23"/>
  <c r="F3" i="27" s="1"/>
  <c r="E36" i="23" l="1"/>
  <c r="C43" i="23"/>
  <c r="D10" i="23"/>
  <c r="D20" i="23"/>
  <c r="D30" i="23" s="1"/>
  <c r="D7" i="23"/>
  <c r="E3" i="27" s="1"/>
  <c r="E10" i="23"/>
  <c r="E21" i="23"/>
  <c r="C10" i="23"/>
  <c r="C25" i="23"/>
  <c r="D36" i="23" l="1"/>
  <c r="F5" i="27"/>
  <c r="E5" i="27"/>
  <c r="C37" i="23"/>
  <c r="D25" i="23"/>
  <c r="E25" i="23"/>
  <c r="E31" i="23"/>
  <c r="F4" i="27" s="1"/>
  <c r="D31" i="23"/>
  <c r="E4" i="27" s="1"/>
  <c r="D21" i="23"/>
  <c r="C21" i="23"/>
  <c r="D37" i="23" l="1"/>
  <c r="E37" i="23"/>
  <c r="F43" i="23" l="1"/>
  <c r="G4" i="23"/>
  <c r="G15" i="23" s="1"/>
  <c r="F20" i="23"/>
  <c r="F30" i="23" s="1"/>
  <c r="F7" i="23"/>
  <c r="G3" i="27" s="1"/>
  <c r="F10" i="23"/>
  <c r="F25" i="23"/>
  <c r="F36" i="23" l="1"/>
  <c r="F37" i="23" s="1"/>
  <c r="G5" i="27"/>
  <c r="M20" i="23"/>
  <c r="G33" i="23"/>
  <c r="G27" i="23"/>
  <c r="G42" i="23"/>
  <c r="G10" i="23"/>
  <c r="G39" i="23"/>
  <c r="G25" i="23"/>
  <c r="F21" i="23"/>
  <c r="H4" i="23"/>
  <c r="H15" i="23" s="1"/>
  <c r="H6" i="27" l="1"/>
  <c r="M36" i="23"/>
  <c r="H33" i="23"/>
  <c r="H42" i="23"/>
  <c r="H10" i="23"/>
  <c r="H39" i="23"/>
  <c r="H27" i="23"/>
  <c r="H25" i="23"/>
  <c r="I4" i="23"/>
  <c r="I15" i="23" s="1"/>
  <c r="I6" i="27" l="1"/>
  <c r="F31" i="23"/>
  <c r="G4" i="27" s="1"/>
  <c r="M30" i="23"/>
  <c r="I33" i="23"/>
  <c r="I42" i="23"/>
  <c r="I10" i="23"/>
  <c r="I27" i="23"/>
  <c r="I39" i="23"/>
  <c r="J6" i="27" s="1"/>
  <c r="I25" i="23"/>
  <c r="E35" i="25"/>
  <c r="J4" i="23"/>
  <c r="J15" i="23" s="1"/>
  <c r="J42" i="23" l="1"/>
  <c r="J33" i="23"/>
  <c r="J10" i="23"/>
  <c r="J27" i="23"/>
  <c r="J39" i="23"/>
  <c r="J25" i="23"/>
  <c r="E64" i="25"/>
  <c r="E60" i="25"/>
  <c r="D6" i="26" s="1"/>
  <c r="F35" i="25"/>
  <c r="K4" i="23"/>
  <c r="K6" i="27" l="1"/>
  <c r="N4" i="23"/>
  <c r="L4" i="21" s="1"/>
  <c r="K15" i="23"/>
  <c r="K42" i="23"/>
  <c r="N42" i="23" s="1"/>
  <c r="K33" i="23"/>
  <c r="N33" i="23" s="1"/>
  <c r="K10" i="23"/>
  <c r="K27" i="23"/>
  <c r="N27" i="23" s="1"/>
  <c r="K39" i="23"/>
  <c r="K25" i="23"/>
  <c r="E46" i="25"/>
  <c r="D8" i="26"/>
  <c r="G35" i="25"/>
  <c r="G60" i="25" s="1"/>
  <c r="F6" i="26" s="1"/>
  <c r="F60" i="25"/>
  <c r="E6" i="26" s="1"/>
  <c r="F64" i="25"/>
  <c r="E8" i="26" s="1"/>
  <c r="N39" i="23" l="1"/>
  <c r="L6" i="27"/>
  <c r="G64" i="25"/>
  <c r="F8" i="26" s="1"/>
  <c r="F46" i="25"/>
  <c r="H35" i="25"/>
  <c r="G46" i="25" l="1"/>
  <c r="H60" i="25"/>
  <c r="G6" i="26" s="1"/>
  <c r="H64" i="25"/>
  <c r="G8" i="26" s="1"/>
  <c r="I35" i="25"/>
  <c r="C28" i="26" s="1"/>
  <c r="C31" i="26" l="1"/>
  <c r="C32" i="26" s="1"/>
  <c r="H46" i="25"/>
  <c r="I64" i="25"/>
  <c r="H8" i="26" s="1"/>
  <c r="I60" i="25"/>
  <c r="H6" i="26" s="1"/>
  <c r="I46" i="25" l="1"/>
  <c r="H20" i="23" l="1"/>
  <c r="H30" i="23" s="1"/>
  <c r="H36" i="23" s="1"/>
  <c r="J20" i="23" l="1"/>
  <c r="J30" i="23" s="1"/>
  <c r="J36" i="23" s="1"/>
  <c r="H21" i="23"/>
  <c r="I20" i="23"/>
  <c r="I30" i="23" s="1"/>
  <c r="I36" i="23" s="1"/>
  <c r="K20" i="23"/>
  <c r="K30" i="23" s="1"/>
  <c r="K36" i="23" s="1"/>
  <c r="G20" i="23"/>
  <c r="G30" i="23" s="1"/>
  <c r="G36" i="23" s="1"/>
  <c r="N20" i="23" l="1"/>
  <c r="G44" i="23"/>
  <c r="G21" i="23"/>
  <c r="K21" i="23"/>
  <c r="J21" i="23"/>
  <c r="I21" i="23"/>
  <c r="H37" i="23"/>
  <c r="F22" i="25" s="1"/>
  <c r="H31" i="23"/>
  <c r="I4" i="27" s="1"/>
  <c r="H5" i="27" l="1"/>
  <c r="I5" i="27"/>
  <c r="J5" i="27"/>
  <c r="K5" i="27"/>
  <c r="N36" i="23"/>
  <c r="I44" i="23"/>
  <c r="G37" i="23"/>
  <c r="G31" i="23"/>
  <c r="H4" i="27" s="1"/>
  <c r="H44" i="23"/>
  <c r="J37" i="23"/>
  <c r="H22" i="25" s="1"/>
  <c r="J31" i="23"/>
  <c r="K4" i="27" s="1"/>
  <c r="K37" i="23"/>
  <c r="C29" i="26" s="1"/>
  <c r="C30" i="26" s="1"/>
  <c r="C33" i="26" s="1"/>
  <c r="K44" i="23"/>
  <c r="J44" i="23"/>
  <c r="I37" i="23"/>
  <c r="G22" i="25" s="1"/>
  <c r="I31" i="23"/>
  <c r="J4" i="27" s="1"/>
  <c r="F5" i="25"/>
  <c r="F36" i="25" s="1"/>
  <c r="G45" i="25"/>
  <c r="E45" i="25"/>
  <c r="E61" i="25" s="1"/>
  <c r="D7" i="26" s="1"/>
  <c r="N30" i="23" l="1"/>
  <c r="L5" i="27"/>
  <c r="K31" i="23"/>
  <c r="L4" i="27" s="1"/>
  <c r="E6" i="21"/>
  <c r="E22" i="25"/>
  <c r="E5" i="25" s="1"/>
  <c r="E36" i="25" s="1"/>
  <c r="D4" i="26" s="1"/>
  <c r="D5" i="26" s="1"/>
  <c r="D9" i="26" s="1"/>
  <c r="I6" i="21"/>
  <c r="I22" i="25"/>
  <c r="I5" i="25" s="1"/>
  <c r="I36" i="25" s="1"/>
  <c r="F45" i="25"/>
  <c r="F61" i="25" s="1"/>
  <c r="E7" i="26" s="1"/>
  <c r="F38" i="25"/>
  <c r="E4" i="26"/>
  <c r="E5" i="26" s="1"/>
  <c r="I45" i="25"/>
  <c r="H5" i="25"/>
  <c r="H36" i="25" s="1"/>
  <c r="H45" i="25"/>
  <c r="H61" i="25" s="1"/>
  <c r="G7" i="26" s="1"/>
  <c r="G5" i="25"/>
  <c r="G36" i="25" s="1"/>
  <c r="C34" i="26" l="1"/>
  <c r="E38" i="25"/>
  <c r="E39" i="25" s="1"/>
  <c r="E40" i="25" s="1"/>
  <c r="E69" i="25" s="1"/>
  <c r="C6" i="21"/>
  <c r="I61" i="25"/>
  <c r="H7" i="26" s="1"/>
  <c r="E9" i="26"/>
  <c r="G38" i="25"/>
  <c r="F4" i="26"/>
  <c r="F5" i="26" s="1"/>
  <c r="G4" i="26"/>
  <c r="G5" i="26" s="1"/>
  <c r="G9" i="26" s="1"/>
  <c r="H38" i="25"/>
  <c r="H4" i="26"/>
  <c r="I38" i="25"/>
  <c r="F39" i="25"/>
  <c r="F40" i="25" s="1"/>
  <c r="F69" i="25" s="1"/>
  <c r="G61" i="25"/>
  <c r="F7" i="26" s="1"/>
  <c r="C35" i="26" l="1"/>
  <c r="E70" i="25"/>
  <c r="E59" i="25"/>
  <c r="E62" i="25" s="1"/>
  <c r="F70" i="25"/>
  <c r="F59" i="25"/>
  <c r="F62" i="25" s="1"/>
  <c r="I39" i="25"/>
  <c r="I40" i="25" s="1"/>
  <c r="I69" i="25" s="1"/>
  <c r="H39" i="25"/>
  <c r="H40" i="25" s="1"/>
  <c r="H69" i="25" s="1"/>
  <c r="F9" i="26"/>
  <c r="H15" i="26"/>
  <c r="H5" i="26"/>
  <c r="G39" i="25"/>
  <c r="G40" i="25" s="1"/>
  <c r="G69" i="25" s="1"/>
  <c r="H16" i="26" l="1"/>
  <c r="H9" i="26"/>
  <c r="E52" i="25"/>
  <c r="F72" i="25"/>
  <c r="E72" i="25"/>
  <c r="E44" i="25" s="1"/>
  <c r="I59" i="25"/>
  <c r="I62" i="25" s="1"/>
  <c r="I70" i="25"/>
  <c r="G70" i="25"/>
  <c r="G59" i="25"/>
  <c r="G62" i="25" s="1"/>
  <c r="H59" i="25"/>
  <c r="H62" i="25" s="1"/>
  <c r="H70" i="25"/>
  <c r="H13" i="26" l="1"/>
  <c r="H17" i="26" s="1"/>
  <c r="H21" i="26" s="1"/>
  <c r="E30" i="26" s="1"/>
  <c r="F44" i="25"/>
  <c r="F48" i="25" s="1"/>
  <c r="G72" i="25"/>
  <c r="E48" i="25"/>
  <c r="H72" i="25"/>
  <c r="E53" i="25"/>
  <c r="F52" i="25"/>
  <c r="I72" i="25"/>
  <c r="C36" i="26" l="1"/>
  <c r="C40" i="26" s="1"/>
  <c r="E37" i="26" s="1"/>
  <c r="E55" i="25"/>
  <c r="G44" i="25"/>
  <c r="G48" i="25" s="1"/>
  <c r="G52" i="25"/>
  <c r="F53" i="25"/>
  <c r="F55" i="25" s="1"/>
  <c r="H44" i="25" l="1"/>
  <c r="I44" i="25" s="1"/>
  <c r="I48" i="25" s="1"/>
  <c r="H52" i="25"/>
  <c r="G53" i="25"/>
  <c r="G55" i="25" s="1"/>
  <c r="H48" i="25" l="1"/>
  <c r="H53" i="25"/>
  <c r="I52" i="25"/>
  <c r="I53" i="25" s="1"/>
  <c r="I55" i="25" l="1"/>
  <c r="H55" i="25"/>
</calcChain>
</file>

<file path=xl/sharedStrings.xml><?xml version="1.0" encoding="utf-8"?>
<sst xmlns="http://schemas.openxmlformats.org/spreadsheetml/2006/main" count="154" uniqueCount="120">
  <si>
    <t>Выручка</t>
  </si>
  <si>
    <t>Основные средства</t>
  </si>
  <si>
    <t>Прочие внеоборотные активы</t>
  </si>
  <si>
    <t>Валовая прибыль</t>
  </si>
  <si>
    <t>EBIT</t>
  </si>
  <si>
    <t>EBT</t>
  </si>
  <si>
    <t>Налог на прибыль</t>
  </si>
  <si>
    <t>Проверка</t>
  </si>
  <si>
    <t>D/E</t>
  </si>
  <si>
    <t>Амортизация</t>
  </si>
  <si>
    <t>Дисконтирующий множитель</t>
  </si>
  <si>
    <t>Стоимость акционерного капитала</t>
  </si>
  <si>
    <t>EV</t>
  </si>
  <si>
    <t>Акционерное финансирование</t>
  </si>
  <si>
    <t>Дивидеды</t>
  </si>
  <si>
    <t xml:space="preserve"> +/- краткосрочные кредиты и займы</t>
  </si>
  <si>
    <t xml:space="preserve"> +/- долгосрочные кредиты и займы</t>
  </si>
  <si>
    <t>Заемный капитал</t>
  </si>
  <si>
    <t>Собственный капитал</t>
  </si>
  <si>
    <t>WACC</t>
  </si>
  <si>
    <t>Денежные средства</t>
  </si>
  <si>
    <t>Кредиты и займы</t>
  </si>
  <si>
    <t>Миноритарная доля</t>
  </si>
  <si>
    <t>Чистая прибыль</t>
  </si>
  <si>
    <t>Денежный поток от операционной деятельности</t>
  </si>
  <si>
    <t>Мультипликатор выхода (EV/EBITDA)</t>
  </si>
  <si>
    <t>Остаточная стоимость (TV)</t>
  </si>
  <si>
    <t>Допущения</t>
  </si>
  <si>
    <t>% роста</t>
  </si>
  <si>
    <t>% от выручки</t>
  </si>
  <si>
    <t>WCR</t>
  </si>
  <si>
    <t>Capex</t>
  </si>
  <si>
    <t>EBITDA</t>
  </si>
  <si>
    <t>Требуемый оборотный капитал (WCR)</t>
  </si>
  <si>
    <t>Изменение WCR</t>
  </si>
  <si>
    <t>Выручка (% роста)</t>
  </si>
  <si>
    <t>Рентабельность EBIT (% от выручки)</t>
  </si>
  <si>
    <t>WCR (% от выручки)</t>
  </si>
  <si>
    <t>Амортизация (% от выручки)</t>
  </si>
  <si>
    <t>Capex (% от выручки)</t>
  </si>
  <si>
    <t>Сценарий для оценки</t>
  </si>
  <si>
    <t>Стоимость заемного капитала</t>
  </si>
  <si>
    <t>Проценты</t>
  </si>
  <si>
    <t>Налог</t>
  </si>
  <si>
    <t>Денежные средства и их эквиваленты</t>
  </si>
  <si>
    <t>Итого активы</t>
  </si>
  <si>
    <t>Краткосрочные кредиты и займы</t>
  </si>
  <si>
    <t>Долгосрочные кредиты и займы</t>
  </si>
  <si>
    <t>Итого инвестированный капитал</t>
  </si>
  <si>
    <t>Прогноз P&amp;L, млн. руб.</t>
  </si>
  <si>
    <t>Прогноз управленческого баланса, млн. руб.</t>
  </si>
  <si>
    <t>Прогноз денежных потоков</t>
  </si>
  <si>
    <t>Денежный потоки от финансовой деятельности</t>
  </si>
  <si>
    <t>Денежный поток за период</t>
  </si>
  <si>
    <t>Основные допущения</t>
  </si>
  <si>
    <t>Посленалоговый EBIT</t>
  </si>
  <si>
    <t>Свободный денежный поток фирмы (FCFF)</t>
  </si>
  <si>
    <t>Безрисковая ставка доходности</t>
  </si>
  <si>
    <t>Безрычаговый бета коэффициент</t>
  </si>
  <si>
    <t>Бета коэффициент оцениваемой компании</t>
  </si>
  <si>
    <t>ERP</t>
  </si>
  <si>
    <t>Премия за размер</t>
  </si>
  <si>
    <t>Премия за специфические риски</t>
  </si>
  <si>
    <t>Стоимость собственного капитала</t>
  </si>
  <si>
    <t>Приведенная стоимость FCFF</t>
  </si>
  <si>
    <t>Приведенная стоимость TV</t>
  </si>
  <si>
    <t>Содержание</t>
  </si>
  <si>
    <t>Операционный блок</t>
  </si>
  <si>
    <t>Финансовый блок</t>
  </si>
  <si>
    <t>Оценка по DCF</t>
  </si>
  <si>
    <t>Дивиденды (% от прибыли)</t>
  </si>
  <si>
    <t>Стоимость заемного капитала (%)</t>
  </si>
  <si>
    <t>до</t>
  </si>
  <si>
    <t>млн. руб.</t>
  </si>
  <si>
    <t>% роста выручки</t>
  </si>
  <si>
    <t>% роста выручки за счет объема</t>
  </si>
  <si>
    <t>% роста выручки за счет цены</t>
  </si>
  <si>
    <t>Переменные расходы</t>
  </si>
  <si>
    <t>% от выручки (переменные расходы)</t>
  </si>
  <si>
    <t>Доля переменных расходов в себестоимости</t>
  </si>
  <si>
    <t>Доля постоянных расходов в себестоимости</t>
  </si>
  <si>
    <t>% роста переменных расходов за счет цены</t>
  </si>
  <si>
    <t>% роста переменных расходов</t>
  </si>
  <si>
    <t>% роста постоянных расходов</t>
  </si>
  <si>
    <t>Постоянные расходы</t>
  </si>
  <si>
    <t>Прочие доходы и (расходы)</t>
  </si>
  <si>
    <t xml:space="preserve">2. Рентабельность EBIT </t>
  </si>
  <si>
    <t>с</t>
  </si>
  <si>
    <t xml:space="preserve">4. Остаточная стоимость рассчитывается на основе мультипликатора выхода (EV/EBITDA), который составляет </t>
  </si>
  <si>
    <t>3. Средневзвешенная стоимость капитала  (WACC) составляет</t>
  </si>
  <si>
    <t>CAGR (прогноз)</t>
  </si>
  <si>
    <t>CAGR (история)</t>
  </si>
  <si>
    <t xml:space="preserve">1. Среднегодовой темп роста (CAGR) выручки прогнозируется на уровне </t>
  </si>
  <si>
    <t>в</t>
  </si>
  <si>
    <t>году</t>
  </si>
  <si>
    <t>Мультипликатор выхода</t>
  </si>
  <si>
    <t>Постпрогнозный темп роста</t>
  </si>
  <si>
    <t>Выручка 2019</t>
  </si>
  <si>
    <t>EBIT 2019</t>
  </si>
  <si>
    <t>WCR 2019</t>
  </si>
  <si>
    <t>TV</t>
  </si>
  <si>
    <t>Анализ чувствительности (модель Гордона)</t>
  </si>
  <si>
    <t>FCFF для постпрогнозного периода</t>
  </si>
  <si>
    <t>Посленалоговый EBIT 2019</t>
  </si>
  <si>
    <t>Оценка (мультипликатор выхода)</t>
  </si>
  <si>
    <t>Анализ чувствительности (мультипликатор выхода)</t>
  </si>
  <si>
    <t>Модель Гордона (CAPEX=Амортизация)</t>
  </si>
  <si>
    <t>Себестоимость (без амортизации)</t>
  </si>
  <si>
    <t>Управленческие и коммерческие расходы (без амортизации)</t>
  </si>
  <si>
    <t>Оценка методом DCF, млн. руб.</t>
  </si>
  <si>
    <t>Capex/Амортизация</t>
  </si>
  <si>
    <t>Темп роста выручки</t>
  </si>
  <si>
    <t>Рентабельность EBITDA</t>
  </si>
  <si>
    <t>Темп роста EBITDA</t>
  </si>
  <si>
    <t>Базовый</t>
  </si>
  <si>
    <t>Новая стратегия</t>
  </si>
  <si>
    <t>Стоимость СК</t>
  </si>
  <si>
    <t>ROE на начало</t>
  </si>
  <si>
    <t>Спрэд</t>
  </si>
  <si>
    <t>Остаточная прибыль (RI)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</si>
</sst>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0.0%"/>
    <numFmt numFmtId="166" formatCode="0\A"/>
    <numFmt numFmtId="167" formatCode="0\E"/>
    <numFmt numFmtId="168" formatCode="0.0"/>
    <numFmt numFmtId="169" formatCode="#,##0.0;\(#,##0.0\)"/>
    <numFmt numFmtId="170" formatCode="#,##0.0"/>
    <numFmt numFmtId="171" formatCode="#,##0.00000000"/>
    <numFmt numFmtId="172" formatCode="#,##0.00;\(#,##0.00\)"/>
    <numFmt numFmtId="173" formatCode="#,##0.0\x"/>
    <numFmt numFmtId="174" formatCode="0.00000%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Georgia"/>
      <family val="1"/>
      <charset val="204"/>
    </font>
    <font>
      <sz val="11"/>
      <color theme="1"/>
      <name val="Georgia"/>
      <family val="1"/>
      <charset val="204"/>
    </font>
    <font>
      <b/>
      <sz val="10"/>
      <color indexed="9"/>
      <name val="Georgia"/>
      <family val="1"/>
      <charset val="204"/>
    </font>
    <font>
      <sz val="10"/>
      <color theme="1"/>
      <name val="Georgia"/>
      <family val="1"/>
      <charset val="204"/>
    </font>
    <font>
      <sz val="10"/>
      <name val="Georgia"/>
      <family val="1"/>
      <charset val="204"/>
    </font>
    <font>
      <b/>
      <sz val="10"/>
      <color theme="1"/>
      <name val="Georgia"/>
      <family val="1"/>
      <charset val="204"/>
    </font>
    <font>
      <i/>
      <sz val="10"/>
      <color theme="1"/>
      <name val="Georgia"/>
      <family val="1"/>
      <charset val="204"/>
    </font>
    <font>
      <sz val="10"/>
      <color theme="3"/>
      <name val="Georgia"/>
      <family val="1"/>
      <charset val="204"/>
    </font>
    <font>
      <i/>
      <sz val="8"/>
      <color theme="1"/>
      <name val="Georgia"/>
      <family val="1"/>
      <charset val="204"/>
    </font>
    <font>
      <b/>
      <sz val="10"/>
      <color theme="7" tint="0.59999389629810485"/>
      <name val="Georgia"/>
      <family val="1"/>
      <charset val="204"/>
    </font>
    <font>
      <sz val="10"/>
      <color theme="0"/>
      <name val="Georgia"/>
      <family val="1"/>
      <charset val="204"/>
    </font>
    <font>
      <u/>
      <sz val="10"/>
      <color theme="1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86">
    <xf numFmtId="0" fontId="0" fillId="0" borderId="0" xfId="0"/>
    <xf numFmtId="0" fontId="7" fillId="2" borderId="0" xfId="0" applyFont="1" applyFill="1"/>
    <xf numFmtId="0" fontId="8" fillId="4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166" fontId="8" fillId="4" borderId="0" xfId="0" applyNumberFormat="1" applyFont="1" applyFill="1" applyBorder="1" applyAlignment="1">
      <alignment vertical="center"/>
    </xf>
    <xf numFmtId="167" fontId="8" fillId="4" borderId="0" xfId="0" applyNumberFormat="1" applyFont="1" applyFill="1" applyBorder="1" applyAlignment="1">
      <alignment vertical="center"/>
    </xf>
    <xf numFmtId="169" fontId="9" fillId="2" borderId="0" xfId="0" applyNumberFormat="1" applyFont="1" applyFill="1" applyBorder="1"/>
    <xf numFmtId="0" fontId="9" fillId="2" borderId="0" xfId="0" applyFont="1" applyFill="1" applyBorder="1" applyAlignment="1">
      <alignment horizontal="left" indent="1"/>
    </xf>
    <xf numFmtId="165" fontId="9" fillId="2" borderId="0" xfId="3" applyNumberFormat="1" applyFont="1" applyFill="1" applyBorder="1"/>
    <xf numFmtId="165" fontId="9" fillId="3" borderId="0" xfId="3" applyNumberFormat="1" applyFont="1" applyFill="1" applyBorder="1" applyAlignment="1">
      <alignment horizontal="right" vertical="center"/>
    </xf>
    <xf numFmtId="170" fontId="9" fillId="2" borderId="0" xfId="0" applyNumberFormat="1" applyFont="1" applyFill="1" applyBorder="1"/>
    <xf numFmtId="168" fontId="9" fillId="2" borderId="0" xfId="0" applyNumberFormat="1" applyFont="1" applyFill="1" applyBorder="1"/>
    <xf numFmtId="0" fontId="9" fillId="2" borderId="3" xfId="0" applyFont="1" applyFill="1" applyBorder="1"/>
    <xf numFmtId="169" fontId="9" fillId="2" borderId="3" xfId="0" applyNumberFormat="1" applyFont="1" applyFill="1" applyBorder="1"/>
    <xf numFmtId="170" fontId="9" fillId="2" borderId="3" xfId="0" applyNumberFormat="1" applyFont="1" applyFill="1" applyBorder="1"/>
    <xf numFmtId="170" fontId="9" fillId="2" borderId="3" xfId="0" applyNumberFormat="1" applyFont="1" applyFill="1" applyBorder="1" applyAlignment="1">
      <alignment horizontal="right"/>
    </xf>
    <xf numFmtId="165" fontId="9" fillId="2" borderId="0" xfId="3" applyNumberFormat="1" applyFont="1" applyFill="1" applyBorder="1" applyAlignment="1">
      <alignment horizontal="right"/>
    </xf>
    <xf numFmtId="0" fontId="11" fillId="2" borderId="0" xfId="0" applyFont="1" applyFill="1" applyBorder="1"/>
    <xf numFmtId="169" fontId="11" fillId="2" borderId="0" xfId="0" applyNumberFormat="1" applyFont="1" applyFill="1" applyBorder="1"/>
    <xf numFmtId="171" fontId="9" fillId="2" borderId="0" xfId="0" applyNumberFormat="1" applyFont="1" applyFill="1" applyBorder="1"/>
    <xf numFmtId="169" fontId="9" fillId="3" borderId="0" xfId="0" applyNumberFormat="1" applyFont="1" applyFill="1" applyBorder="1"/>
    <xf numFmtId="0" fontId="12" fillId="2" borderId="0" xfId="0" applyFont="1" applyFill="1" applyBorder="1"/>
    <xf numFmtId="165" fontId="7" fillId="3" borderId="0" xfId="3" applyNumberFormat="1" applyFont="1" applyFill="1" applyBorder="1" applyAlignment="1">
      <alignment horizontal="center"/>
    </xf>
    <xf numFmtId="172" fontId="9" fillId="2" borderId="0" xfId="0" applyNumberFormat="1" applyFont="1" applyFill="1" applyBorder="1"/>
    <xf numFmtId="172" fontId="9" fillId="3" borderId="0" xfId="0" applyNumberFormat="1" applyFont="1" applyFill="1" applyBorder="1" applyAlignment="1">
      <alignment horizontal="center"/>
    </xf>
    <xf numFmtId="172" fontId="9" fillId="2" borderId="0" xfId="0" applyNumberFormat="1" applyFont="1" applyFill="1" applyBorder="1" applyAlignment="1">
      <alignment horizontal="center"/>
    </xf>
    <xf numFmtId="0" fontId="11" fillId="2" borderId="3" xfId="0" applyFont="1" applyFill="1" applyBorder="1"/>
    <xf numFmtId="165" fontId="11" fillId="2" borderId="3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4" fontId="13" fillId="4" borderId="0" xfId="2" applyFont="1" applyFill="1" applyBorder="1" applyAlignment="1">
      <alignment vertical="center"/>
    </xf>
    <xf numFmtId="173" fontId="10" fillId="3" borderId="0" xfId="0" applyNumberFormat="1" applyFont="1" applyFill="1" applyBorder="1" applyAlignment="1">
      <alignment horizontal="right" vertical="center"/>
    </xf>
    <xf numFmtId="169" fontId="11" fillId="2" borderId="3" xfId="0" applyNumberFormat="1" applyFont="1" applyFill="1" applyBorder="1"/>
    <xf numFmtId="173" fontId="9" fillId="2" borderId="0" xfId="0" applyNumberFormat="1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165" fontId="9" fillId="2" borderId="6" xfId="3" applyNumberFormat="1" applyFont="1" applyFill="1" applyBorder="1"/>
    <xf numFmtId="165" fontId="9" fillId="2" borderId="7" xfId="3" applyNumberFormat="1" applyFont="1" applyFill="1" applyBorder="1"/>
    <xf numFmtId="0" fontId="9" fillId="2" borderId="4" xfId="0" applyFont="1" applyFill="1" applyBorder="1"/>
    <xf numFmtId="165" fontId="9" fillId="2" borderId="8" xfId="3" applyNumberFormat="1" applyFont="1" applyFill="1" applyBorder="1"/>
    <xf numFmtId="165" fontId="9" fillId="3" borderId="8" xfId="3" applyNumberFormat="1" applyFont="1" applyFill="1" applyBorder="1" applyAlignment="1">
      <alignment horizontal="right" vertical="center"/>
    </xf>
    <xf numFmtId="0" fontId="9" fillId="2" borderId="9" xfId="0" applyFont="1" applyFill="1" applyBorder="1"/>
    <xf numFmtId="0" fontId="9" fillId="2" borderId="10" xfId="0" applyFont="1" applyFill="1" applyBorder="1"/>
    <xf numFmtId="165" fontId="9" fillId="3" borderId="10" xfId="3" applyNumberFormat="1" applyFont="1" applyFill="1" applyBorder="1" applyAlignment="1">
      <alignment horizontal="right" vertical="center"/>
    </xf>
    <xf numFmtId="165" fontId="9" fillId="3" borderId="11" xfId="3" applyNumberFormat="1" applyFont="1" applyFill="1" applyBorder="1" applyAlignment="1">
      <alignment horizontal="right" vertic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left" indent="1"/>
    </xf>
    <xf numFmtId="0" fontId="9" fillId="2" borderId="8" xfId="0" applyFont="1" applyFill="1" applyBorder="1"/>
    <xf numFmtId="0" fontId="9" fillId="2" borderId="9" xfId="0" applyFont="1" applyFill="1" applyBorder="1" applyAlignment="1">
      <alignment horizontal="left" indent="1"/>
    </xf>
    <xf numFmtId="0" fontId="9" fillId="2" borderId="11" xfId="0" applyFont="1" applyFill="1" applyBorder="1"/>
    <xf numFmtId="173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166" fontId="15" fillId="4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indent="2"/>
    </xf>
    <xf numFmtId="0" fontId="9" fillId="2" borderId="0" xfId="0" applyFont="1" applyFill="1" applyBorder="1" applyAlignment="1">
      <alignment horizontal="left" indent="3"/>
    </xf>
    <xf numFmtId="165" fontId="9" fillId="2" borderId="0" xfId="0" applyNumberFormat="1" applyFont="1" applyFill="1" applyBorder="1"/>
    <xf numFmtId="169" fontId="9" fillId="3" borderId="3" xfId="0" applyNumberFormat="1" applyFont="1" applyFill="1" applyBorder="1"/>
    <xf numFmtId="165" fontId="9" fillId="3" borderId="0" xfId="3" applyNumberFormat="1" applyFont="1" applyFill="1" applyBorder="1"/>
    <xf numFmtId="168" fontId="9" fillId="3" borderId="0" xfId="0" applyNumberFormat="1" applyFont="1" applyFill="1" applyBorder="1"/>
    <xf numFmtId="167" fontId="8" fillId="4" borderId="0" xfId="0" applyNumberFormat="1" applyFont="1" applyFill="1" applyBorder="1" applyAlignment="1">
      <alignment horizontal="center" vertical="center"/>
    </xf>
    <xf numFmtId="165" fontId="9" fillId="2" borderId="3" xfId="3" applyNumberFormat="1" applyFont="1" applyFill="1" applyBorder="1" applyAlignment="1">
      <alignment horizontal="center"/>
    </xf>
    <xf numFmtId="169" fontId="16" fillId="2" borderId="4" xfId="0" applyNumberFormat="1" applyFont="1" applyFill="1" applyBorder="1"/>
    <xf numFmtId="165" fontId="9" fillId="2" borderId="4" xfId="0" applyNumberFormat="1" applyFont="1" applyFill="1" applyBorder="1"/>
    <xf numFmtId="165" fontId="9" fillId="3" borderId="2" xfId="3" applyNumberFormat="1" applyFont="1" applyFill="1" applyBorder="1"/>
    <xf numFmtId="165" fontId="9" fillId="2" borderId="9" xfId="0" applyNumberFormat="1" applyFont="1" applyFill="1" applyBorder="1"/>
    <xf numFmtId="170" fontId="9" fillId="3" borderId="0" xfId="0" applyNumberFormat="1" applyFont="1" applyFill="1" applyBorder="1"/>
    <xf numFmtId="0" fontId="6" fillId="2" borderId="0" xfId="9" applyFont="1" applyFill="1" applyAlignment="1">
      <alignment horizontal="left" indent="1"/>
    </xf>
    <xf numFmtId="0" fontId="6" fillId="2" borderId="0" xfId="9" quotePrefix="1" applyFont="1" applyFill="1" applyAlignment="1">
      <alignment horizontal="left" indent="1"/>
    </xf>
    <xf numFmtId="3" fontId="9" fillId="2" borderId="0" xfId="0" applyNumberFormat="1" applyFont="1" applyFill="1" applyBorder="1"/>
    <xf numFmtId="173" fontId="10" fillId="3" borderId="0" xfId="0" applyNumberFormat="1" applyFont="1" applyFill="1" applyBorder="1" applyAlignment="1">
      <alignment horizontal="center" vertical="center"/>
    </xf>
    <xf numFmtId="169" fontId="9" fillId="2" borderId="1" xfId="0" applyNumberFormat="1" applyFont="1" applyFill="1" applyBorder="1"/>
    <xf numFmtId="0" fontId="17" fillId="2" borderId="6" xfId="0" applyFont="1" applyFill="1" applyBorder="1" applyAlignment="1">
      <alignment horizontal="center"/>
    </xf>
    <xf numFmtId="173" fontId="10" fillId="2" borderId="8" xfId="0" applyNumberFormat="1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/>
      <protection hidden="1"/>
    </xf>
    <xf numFmtId="0" fontId="9" fillId="2" borderId="0" xfId="0" applyFont="1" applyFill="1" applyBorder="1" applyProtection="1">
      <protection hidden="1"/>
    </xf>
    <xf numFmtId="166" fontId="8" fillId="4" borderId="0" xfId="0" applyNumberFormat="1" applyFont="1" applyFill="1" applyBorder="1" applyAlignment="1" applyProtection="1">
      <alignment vertical="center"/>
      <protection hidden="1"/>
    </xf>
    <xf numFmtId="167" fontId="8" fillId="4" borderId="0" xfId="0" applyNumberFormat="1" applyFont="1" applyFill="1" applyBorder="1" applyAlignment="1" applyProtection="1">
      <alignment vertical="center"/>
      <protection hidden="1"/>
    </xf>
    <xf numFmtId="165" fontId="9" fillId="2" borderId="0" xfId="3" applyNumberFormat="1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165" fontId="9" fillId="2" borderId="0" xfId="3" applyNumberFormat="1" applyFont="1" applyFill="1" applyBorder="1" applyAlignment="1" applyProtection="1">
      <alignment horizontal="center"/>
      <protection hidden="1"/>
    </xf>
    <xf numFmtId="173" fontId="10" fillId="2" borderId="0" xfId="0" applyNumberFormat="1" applyFont="1" applyFill="1" applyBorder="1" applyAlignment="1" applyProtection="1">
      <alignment horizontal="center" vertical="center"/>
      <protection hidden="1"/>
    </xf>
    <xf numFmtId="173" fontId="10" fillId="2" borderId="0" xfId="0" applyNumberFormat="1" applyFont="1" applyFill="1" applyBorder="1" applyAlignment="1">
      <alignment horizontal="right" vertical="center"/>
    </xf>
    <xf numFmtId="174" fontId="9" fillId="2" borderId="0" xfId="0" applyNumberFormat="1" applyFont="1" applyFill="1" applyBorder="1"/>
  </cellXfs>
  <cellStyles count="11">
    <cellStyle name="Normal 2" xfId="10"/>
    <cellStyle name="Гиперссылка" xfId="9" builtinId="8"/>
    <cellStyle name="Обычный" xfId="0" builtinId="0"/>
    <cellStyle name="Обычный 2" xfId="1"/>
    <cellStyle name="Обычный 3" xfId="4"/>
    <cellStyle name="Обычный 4" xfId="6"/>
    <cellStyle name="Процентный" xfId="3" builtinId="5"/>
    <cellStyle name="Процентный 2" xfId="5"/>
    <cellStyle name="Процентный 3" xfId="8"/>
    <cellStyle name="Финансовый" xfId="2" builtinId="3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191574</xdr:colOff>
      <xdr:row>29</xdr:row>
      <xdr:rowOff>158652</xdr:rowOff>
    </xdr:from>
    <xdr:ext cx="264560" cy="542200"/>
    <xdr:sp macro="" textlink="">
      <xdr:nvSpPr>
        <xdr:cNvPr id="2" name="TextBox 1"/>
        <xdr:cNvSpPr txBox="1"/>
      </xdr:nvSpPr>
      <xdr:spPr>
        <a:xfrm rot="16200000">
          <a:off x="5434379" y="4259872"/>
          <a:ext cx="542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u="sng"/>
            <a:t>WACC</a:t>
          </a:r>
          <a:endParaRPr lang="ru-RU" sz="1100" u="sng"/>
        </a:p>
      </xdr:txBody>
    </xdr:sp>
    <xdr:clientData/>
  </xdr:oneCellAnchor>
  <xdr:oneCellAnchor>
    <xdr:from>
      <xdr:col>4</xdr:col>
      <xdr:colOff>210624</xdr:colOff>
      <xdr:row>36</xdr:row>
      <xdr:rowOff>139602</xdr:rowOff>
    </xdr:from>
    <xdr:ext cx="264560" cy="542200"/>
    <xdr:sp macro="" textlink="">
      <xdr:nvSpPr>
        <xdr:cNvPr id="3" name="TextBox 2"/>
        <xdr:cNvSpPr txBox="1"/>
      </xdr:nvSpPr>
      <xdr:spPr>
        <a:xfrm rot="16200000">
          <a:off x="5453429" y="5393347"/>
          <a:ext cx="542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u="sng"/>
            <a:t>WACC</a:t>
          </a:r>
          <a:endParaRPr lang="ru-RU" sz="11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/AppData/Local/Temp/Sintez_OKA_Financial%20Model_28%2002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езюме"/>
      <sheetName val="Финансовый блок"/>
      <sheetName val="Аналитический блок"/>
      <sheetName val="Анализ Аналогов"/>
      <sheetName val="Анализ Сделок"/>
      <sheetName val="Диаграмма выручки"/>
      <sheetName val="Диаграммы"/>
    </sheetNames>
    <sheetDataSet>
      <sheetData sheetId="0"/>
      <sheetData sheetId="1"/>
      <sheetData sheetId="2"/>
      <sheetData sheetId="3">
        <row r="56">
          <cell r="A56" t="str">
            <v>Ставка дисконтирования фонда</v>
          </cell>
        </row>
        <row r="57">
          <cell r="C57">
            <v>0.20194493830269455</v>
          </cell>
        </row>
      </sheetData>
      <sheetData sheetId="4">
        <row r="17">
          <cell r="I17">
            <v>0.63349911860992192</v>
          </cell>
        </row>
      </sheetData>
      <sheetData sheetId="5">
        <row r="12">
          <cell r="E12">
            <v>1.41</v>
          </cell>
        </row>
      </sheetData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zoomScale="160" zoomScaleNormal="160" workbookViewId="0">
      <selection activeCell="B15" sqref="B15"/>
    </sheetView>
  </sheetViews>
  <sheetFormatPr defaultRowHeight="14.25" x14ac:dyDescent="0.2"/>
  <cols>
    <col min="1" max="1" width="5.28515625" style="1" customWidth="1"/>
    <col min="2" max="2" width="38" style="1" bestFit="1" customWidth="1"/>
    <col min="3" max="3" width="9.140625" style="1"/>
    <col min="4" max="4" width="11.7109375" style="1" bestFit="1" customWidth="1"/>
    <col min="5" max="16384" width="9.140625" style="1"/>
  </cols>
  <sheetData>
    <row r="1" spans="2:6" x14ac:dyDescent="0.2">
      <c r="B1" s="2"/>
      <c r="C1" s="2"/>
      <c r="D1" s="2"/>
      <c r="E1" s="2"/>
      <c r="F1" s="2"/>
    </row>
    <row r="2" spans="2:6" x14ac:dyDescent="0.2">
      <c r="B2" s="2" t="s">
        <v>66</v>
      </c>
      <c r="C2" s="2"/>
      <c r="D2" s="2"/>
      <c r="E2" s="2"/>
      <c r="F2" s="2"/>
    </row>
    <row r="4" spans="2:6" x14ac:dyDescent="0.2">
      <c r="B4" s="66" t="s">
        <v>27</v>
      </c>
    </row>
    <row r="5" spans="2:6" x14ac:dyDescent="0.2">
      <c r="B5" s="67" t="s">
        <v>67</v>
      </c>
    </row>
    <row r="6" spans="2:6" x14ac:dyDescent="0.2">
      <c r="B6" s="67" t="s">
        <v>68</v>
      </c>
    </row>
    <row r="7" spans="2:6" x14ac:dyDescent="0.2">
      <c r="B7" s="67" t="s">
        <v>69</v>
      </c>
    </row>
  </sheetData>
  <hyperlinks>
    <hyperlink ref="B4" location="Допущения!A1" display="Допущения"/>
    <hyperlink ref="B5" location="'Операционный блок'!A1" display="Операционный блок"/>
    <hyperlink ref="B6" location="'Финансовый блок'!A1" display="'Финансовый блок"/>
    <hyperlink ref="B7" location="'Оценка по DCF'!A1" display="'Оценка по DC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zoomScale="145" zoomScaleNormal="145" workbookViewId="0">
      <selection activeCell="B3" sqref="B3"/>
    </sheetView>
  </sheetViews>
  <sheetFormatPr defaultRowHeight="12.75" x14ac:dyDescent="0.2"/>
  <cols>
    <col min="1" max="1" width="3.85546875" style="76" customWidth="1"/>
    <col min="2" max="2" width="21.42578125" style="76" customWidth="1"/>
    <col min="3" max="3" width="10.7109375" style="76" customWidth="1"/>
    <col min="4" max="4" width="1.7109375" style="76" customWidth="1"/>
    <col min="5" max="5" width="6" style="76" customWidth="1"/>
    <col min="6" max="6" width="1.7109375" style="76" customWidth="1"/>
    <col min="7" max="7" width="5.85546875" style="76" customWidth="1"/>
    <col min="8" max="8" width="2.7109375" style="76" customWidth="1"/>
    <col min="9" max="9" width="6.5703125" style="76" customWidth="1"/>
    <col min="10" max="10" width="1.7109375" style="76" customWidth="1"/>
    <col min="11" max="11" width="6.42578125" style="76" customWidth="1"/>
    <col min="12" max="12" width="6.5703125" style="76" customWidth="1"/>
    <col min="13" max="13" width="10.42578125" style="76" customWidth="1"/>
    <col min="14" max="14" width="6.28515625" style="76" customWidth="1"/>
    <col min="15" max="16384" width="9.140625" style="76"/>
  </cols>
  <sheetData>
    <row r="1" spans="2:14" ht="15" customHeight="1" x14ac:dyDescent="0.2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2:14" x14ac:dyDescent="0.2">
      <c r="B2" s="75" t="s">
        <v>27</v>
      </c>
      <c r="C2" s="77"/>
      <c r="D2" s="77"/>
      <c r="E2" s="77"/>
      <c r="F2" s="77"/>
      <c r="G2" s="78"/>
      <c r="H2" s="78"/>
      <c r="I2" s="78"/>
      <c r="J2" s="77"/>
      <c r="K2" s="78"/>
      <c r="L2" s="78"/>
      <c r="M2" s="78"/>
      <c r="N2" s="78"/>
    </row>
    <row r="4" spans="2:14" x14ac:dyDescent="0.2">
      <c r="B4" s="76" t="s">
        <v>92</v>
      </c>
      <c r="L4" s="79">
        <f>'Операционный блок'!N4</f>
        <v>7.0999999999999994E-2</v>
      </c>
    </row>
    <row r="6" spans="2:14" x14ac:dyDescent="0.2">
      <c r="B6" s="76" t="s">
        <v>86</v>
      </c>
      <c r="C6" s="76" t="str">
        <f>IF(I6&gt;E6,"увеличится",IF(E6=I6,"останется","снизится"))</f>
        <v>увеличится</v>
      </c>
      <c r="D6" s="76" t="s">
        <v>87</v>
      </c>
      <c r="E6" s="79">
        <f>'Операционный блок'!G37</f>
        <v>0.23599999999999999</v>
      </c>
      <c r="F6" s="76" t="s">
        <v>93</v>
      </c>
      <c r="G6" s="80">
        <f>'Операционный блок'!F2</f>
        <v>2013</v>
      </c>
      <c r="H6" s="81" t="s">
        <v>72</v>
      </c>
      <c r="I6" s="82">
        <f>'Операционный блок'!K37</f>
        <v>0.27500000000000002</v>
      </c>
      <c r="J6" s="76" t="s">
        <v>93</v>
      </c>
      <c r="K6" s="80">
        <f>'Операционный блок'!K2</f>
        <v>2018</v>
      </c>
      <c r="L6" s="76" t="s">
        <v>94</v>
      </c>
    </row>
    <row r="8" spans="2:14" x14ac:dyDescent="0.2">
      <c r="B8" s="76" t="s">
        <v>89</v>
      </c>
      <c r="K8" s="82">
        <f>'Оценка по DCF'!C24</f>
        <v>0.128</v>
      </c>
    </row>
    <row r="10" spans="2:14" x14ac:dyDescent="0.2">
      <c r="B10" s="76" t="s">
        <v>88</v>
      </c>
      <c r="N10" s="83">
        <f>'Оценка по DCF'!H14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30" zoomScaleNormal="130" workbookViewId="0">
      <pane xSplit="2" ySplit="2" topLeftCell="F32" activePane="bottomRight" state="frozen"/>
      <selection pane="topRight" activeCell="C1" sqref="C1"/>
      <selection pane="bottomLeft" activeCell="A3" sqref="A3"/>
      <selection pane="bottomRight" activeCell="G30" sqref="G30"/>
    </sheetView>
  </sheetViews>
  <sheetFormatPr defaultRowHeight="12.75" x14ac:dyDescent="0.2"/>
  <cols>
    <col min="1" max="1" width="2.42578125" style="3" customWidth="1"/>
    <col min="2" max="2" width="60.140625" style="3" bestFit="1" customWidth="1"/>
    <col min="3" max="6" width="15.5703125" style="3" customWidth="1"/>
    <col min="7" max="7" width="15" style="3" bestFit="1" customWidth="1"/>
    <col min="8" max="8" width="15.140625" style="3" bestFit="1" customWidth="1"/>
    <col min="9" max="10" width="14.42578125" style="3" customWidth="1"/>
    <col min="11" max="11" width="15" style="3" bestFit="1" customWidth="1"/>
    <col min="12" max="12" width="2.42578125" style="3" customWidth="1"/>
    <col min="13" max="14" width="19.140625" style="3" bestFit="1" customWidth="1"/>
    <col min="15" max="16384" width="9.140625" style="3"/>
  </cols>
  <sheetData>
    <row r="1" spans="1:14" ht="1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</row>
    <row r="2" spans="1:14" x14ac:dyDescent="0.2">
      <c r="B2" s="2" t="s">
        <v>73</v>
      </c>
      <c r="C2" s="52">
        <v>2010</v>
      </c>
      <c r="D2" s="4">
        <f>C2+1</f>
        <v>2011</v>
      </c>
      <c r="E2" s="4">
        <f t="shared" ref="E2:F2" si="0">D2+1</f>
        <v>2012</v>
      </c>
      <c r="F2" s="4">
        <f t="shared" si="0"/>
        <v>2013</v>
      </c>
      <c r="G2" s="5">
        <f>F2+1</f>
        <v>2014</v>
      </c>
      <c r="H2" s="5">
        <f t="shared" ref="H2:K2" si="1">G2+1</f>
        <v>2015</v>
      </c>
      <c r="I2" s="5">
        <f t="shared" si="1"/>
        <v>2016</v>
      </c>
      <c r="J2" s="5">
        <f t="shared" si="1"/>
        <v>2017</v>
      </c>
      <c r="K2" s="5">
        <f t="shared" si="1"/>
        <v>2018</v>
      </c>
      <c r="M2" s="59" t="s">
        <v>91</v>
      </c>
      <c r="N2" s="59" t="s">
        <v>90</v>
      </c>
    </row>
    <row r="3" spans="1:14" x14ac:dyDescent="0.2">
      <c r="D3" s="10"/>
      <c r="E3" s="10"/>
      <c r="F3" s="10"/>
      <c r="G3" s="10"/>
      <c r="H3" s="10"/>
      <c r="I3" s="10"/>
      <c r="J3" s="10"/>
      <c r="K3" s="10"/>
    </row>
    <row r="4" spans="1:14" x14ac:dyDescent="0.2">
      <c r="B4" s="12" t="s">
        <v>0</v>
      </c>
      <c r="C4" s="56">
        <v>100</v>
      </c>
      <c r="D4" s="56">
        <v>120</v>
      </c>
      <c r="E4" s="56">
        <v>140</v>
      </c>
      <c r="F4" s="56">
        <v>150</v>
      </c>
      <c r="G4" s="13">
        <f>F4*(1+G7)</f>
        <v>160.69999999999999</v>
      </c>
      <c r="H4" s="13">
        <f t="shared" ref="H4:K4" si="2">G4*(1+H7)</f>
        <v>172.1</v>
      </c>
      <c r="I4" s="13">
        <f t="shared" si="2"/>
        <v>184.3</v>
      </c>
      <c r="J4" s="13">
        <f t="shared" si="2"/>
        <v>197.4</v>
      </c>
      <c r="K4" s="13">
        <f t="shared" si="2"/>
        <v>211.4</v>
      </c>
      <c r="M4" s="60">
        <f>(F4/C4)^(1/($F$2-$C$2))-1</f>
        <v>0.14499999999999999</v>
      </c>
      <c r="N4" s="60">
        <f>(K4/G4)^(1/($K$2-$G$2))-1</f>
        <v>7.0999999999999994E-2</v>
      </c>
    </row>
    <row r="5" spans="1:14" x14ac:dyDescent="0.2">
      <c r="B5" s="7" t="s">
        <v>75</v>
      </c>
      <c r="C5" s="11"/>
      <c r="D5" s="11"/>
      <c r="E5" s="11"/>
      <c r="F5" s="11"/>
      <c r="G5" s="9">
        <v>0.02</v>
      </c>
      <c r="H5" s="9">
        <v>0.02</v>
      </c>
      <c r="I5" s="9">
        <v>0.02</v>
      </c>
      <c r="J5" s="9">
        <v>0.02</v>
      </c>
      <c r="K5" s="9">
        <v>0.02</v>
      </c>
    </row>
    <row r="6" spans="1:14" x14ac:dyDescent="0.2">
      <c r="B6" s="7" t="s">
        <v>76</v>
      </c>
      <c r="C6" s="11"/>
      <c r="D6" s="11"/>
      <c r="E6" s="11"/>
      <c r="F6" s="11"/>
      <c r="G6" s="9">
        <v>0.05</v>
      </c>
      <c r="H6" s="9">
        <v>0.05</v>
      </c>
      <c r="I6" s="9">
        <v>0.05</v>
      </c>
      <c r="J6" s="9">
        <v>0.05</v>
      </c>
      <c r="K6" s="9">
        <v>0.05</v>
      </c>
    </row>
    <row r="7" spans="1:14" x14ac:dyDescent="0.2">
      <c r="B7" s="7" t="s">
        <v>74</v>
      </c>
      <c r="C7" s="8"/>
      <c r="D7" s="8">
        <f t="shared" ref="D7:F7" si="3">D4/C4-1</f>
        <v>0.2</v>
      </c>
      <c r="E7" s="8">
        <f t="shared" si="3"/>
        <v>0.16700000000000001</v>
      </c>
      <c r="F7" s="8">
        <f t="shared" si="3"/>
        <v>7.0999999999999994E-2</v>
      </c>
      <c r="G7" s="8">
        <f>(1+G5)*(1+G6)-1</f>
        <v>7.0999999999999994E-2</v>
      </c>
      <c r="H7" s="8">
        <f t="shared" ref="H7:K7" si="4">(1+H5)*(1+H6)-1</f>
        <v>7.0999999999999994E-2</v>
      </c>
      <c r="I7" s="8">
        <f t="shared" si="4"/>
        <v>7.0999999999999994E-2</v>
      </c>
      <c r="J7" s="8">
        <f t="shared" si="4"/>
        <v>7.0999999999999994E-2</v>
      </c>
      <c r="K7" s="8">
        <f t="shared" si="4"/>
        <v>7.0999999999999994E-2</v>
      </c>
    </row>
    <row r="8" spans="1:14" x14ac:dyDescent="0.2">
      <c r="G8" s="11"/>
      <c r="H8" s="11"/>
      <c r="I8" s="11"/>
      <c r="J8" s="11"/>
      <c r="K8" s="11"/>
    </row>
    <row r="9" spans="1:14" x14ac:dyDescent="0.2">
      <c r="A9" s="8"/>
      <c r="B9" s="12" t="s">
        <v>107</v>
      </c>
      <c r="C9" s="56">
        <v>-50</v>
      </c>
      <c r="D9" s="56">
        <v>-55</v>
      </c>
      <c r="E9" s="56">
        <v>-60</v>
      </c>
      <c r="F9" s="56">
        <v>-65</v>
      </c>
      <c r="G9" s="13">
        <f>G12+G17</f>
        <v>-68.900000000000006</v>
      </c>
      <c r="H9" s="13">
        <f t="shared" ref="H9:K9" si="5">H12+H17</f>
        <v>-73.099999999999994</v>
      </c>
      <c r="I9" s="13">
        <f t="shared" si="5"/>
        <v>-77.599999999999994</v>
      </c>
      <c r="J9" s="13">
        <f t="shared" si="5"/>
        <v>-82.5</v>
      </c>
      <c r="K9" s="13">
        <f t="shared" si="5"/>
        <v>-87.7</v>
      </c>
      <c r="L9" s="8"/>
      <c r="M9" s="60">
        <f>(F9/C9)^(1/($F$2-$C$2))-1</f>
        <v>9.0999999999999998E-2</v>
      </c>
      <c r="N9" s="60">
        <f>(K9/G9)^(1/($K$2-$G$2))-1</f>
        <v>6.2E-2</v>
      </c>
    </row>
    <row r="10" spans="1:14" x14ac:dyDescent="0.2">
      <c r="B10" s="7" t="s">
        <v>29</v>
      </c>
      <c r="C10" s="8">
        <f>-C9/C4</f>
        <v>0.5</v>
      </c>
      <c r="D10" s="8">
        <f>-D9/D4</f>
        <v>0.45800000000000002</v>
      </c>
      <c r="E10" s="8">
        <f>-E9/E4</f>
        <v>0.42899999999999999</v>
      </c>
      <c r="F10" s="8">
        <f>-F9/F4</f>
        <v>0.433</v>
      </c>
      <c r="G10" s="8">
        <f t="shared" ref="G10:K10" si="6">-G9/G4</f>
        <v>0.42899999999999999</v>
      </c>
      <c r="H10" s="8">
        <f t="shared" si="6"/>
        <v>0.42499999999999999</v>
      </c>
      <c r="I10" s="8">
        <f t="shared" si="6"/>
        <v>0.42099999999999999</v>
      </c>
      <c r="J10" s="8">
        <f t="shared" si="6"/>
        <v>0.41799999999999998</v>
      </c>
      <c r="K10" s="8">
        <f t="shared" si="6"/>
        <v>0.41499999999999998</v>
      </c>
      <c r="L10" s="8"/>
    </row>
    <row r="11" spans="1:14" x14ac:dyDescent="0.2">
      <c r="A11" s="8"/>
      <c r="B11" s="53" t="s">
        <v>79</v>
      </c>
      <c r="C11" s="6"/>
      <c r="D11" s="6"/>
      <c r="E11" s="6"/>
      <c r="F11" s="9">
        <v>0.7</v>
      </c>
      <c r="G11" s="8">
        <f>G12/G9</f>
        <v>0.71399999999999997</v>
      </c>
      <c r="H11" s="8">
        <f t="shared" ref="H11:K11" si="7">H12/H9</f>
        <v>0.72799999999999998</v>
      </c>
      <c r="I11" s="8">
        <f t="shared" si="7"/>
        <v>0.74099999999999999</v>
      </c>
      <c r="J11" s="8">
        <f t="shared" si="7"/>
        <v>0.754</v>
      </c>
      <c r="K11" s="8">
        <f t="shared" si="7"/>
        <v>0.76600000000000001</v>
      </c>
      <c r="L11" s="8"/>
    </row>
    <row r="12" spans="1:14" x14ac:dyDescent="0.2">
      <c r="A12" s="8"/>
      <c r="B12" s="53" t="s">
        <v>77</v>
      </c>
      <c r="C12" s="53"/>
      <c r="D12" s="53"/>
      <c r="E12" s="53"/>
      <c r="F12" s="6">
        <f>F9*F11</f>
        <v>-45.5</v>
      </c>
      <c r="G12" s="6">
        <f>F12*(1+G14)</f>
        <v>-49.2</v>
      </c>
      <c r="H12" s="6">
        <f t="shared" ref="H12:K12" si="8">G12*(1+H14)</f>
        <v>-53.2</v>
      </c>
      <c r="I12" s="6">
        <f t="shared" si="8"/>
        <v>-57.5</v>
      </c>
      <c r="J12" s="6">
        <f t="shared" si="8"/>
        <v>-62.2</v>
      </c>
      <c r="K12" s="6">
        <f t="shared" si="8"/>
        <v>-67.2</v>
      </c>
      <c r="L12" s="8"/>
    </row>
    <row r="13" spans="1:14" x14ac:dyDescent="0.2">
      <c r="A13" s="8"/>
      <c r="B13" s="54" t="s">
        <v>81</v>
      </c>
      <c r="C13" s="6"/>
      <c r="D13" s="6"/>
      <c r="E13" s="6"/>
      <c r="G13" s="9">
        <v>0.06</v>
      </c>
      <c r="H13" s="9">
        <v>0.06</v>
      </c>
      <c r="I13" s="9">
        <v>0.06</v>
      </c>
      <c r="J13" s="9">
        <v>0.06</v>
      </c>
      <c r="K13" s="9">
        <v>0.06</v>
      </c>
      <c r="L13" s="8"/>
    </row>
    <row r="14" spans="1:14" x14ac:dyDescent="0.2">
      <c r="A14" s="8"/>
      <c r="B14" s="54" t="s">
        <v>82</v>
      </c>
      <c r="C14" s="6"/>
      <c r="D14" s="6"/>
      <c r="E14" s="6"/>
      <c r="F14" s="6"/>
      <c r="G14" s="8">
        <f>(1+G5)*(1+G13)-1</f>
        <v>8.1000000000000003E-2</v>
      </c>
      <c r="H14" s="8">
        <f>(1+H5)*(1+H13)-1</f>
        <v>8.1000000000000003E-2</v>
      </c>
      <c r="I14" s="8">
        <f>(1+I5)*(1+I13)-1</f>
        <v>8.1000000000000003E-2</v>
      </c>
      <c r="J14" s="8">
        <f>(1+J5)*(1+J13)-1</f>
        <v>8.1000000000000003E-2</v>
      </c>
      <c r="K14" s="8">
        <f>(1+K5)*(1+K13)-1</f>
        <v>8.1000000000000003E-2</v>
      </c>
      <c r="L14" s="8"/>
    </row>
    <row r="15" spans="1:14" x14ac:dyDescent="0.2">
      <c r="A15" s="8"/>
      <c r="B15" s="54" t="s">
        <v>78</v>
      </c>
      <c r="C15" s="6"/>
      <c r="D15" s="6"/>
      <c r="E15" s="6"/>
      <c r="F15" s="8">
        <f>F11*F9/F4*-1</f>
        <v>0.30299999999999999</v>
      </c>
      <c r="G15" s="8">
        <f>G11*G9/G4*-1</f>
        <v>0.30599999999999999</v>
      </c>
      <c r="H15" s="8">
        <f t="shared" ref="G15:J15" si="9">H11*H9/H4*-1</f>
        <v>0.309</v>
      </c>
      <c r="I15" s="8">
        <f t="shared" si="9"/>
        <v>0.312</v>
      </c>
      <c r="J15" s="8">
        <f t="shared" si="9"/>
        <v>0.315</v>
      </c>
      <c r="K15" s="8">
        <f>K11*K9/K4*-1</f>
        <v>0.318</v>
      </c>
      <c r="L15" s="8"/>
    </row>
    <row r="16" spans="1:14" x14ac:dyDescent="0.2">
      <c r="A16" s="8"/>
      <c r="B16" s="53" t="s">
        <v>80</v>
      </c>
      <c r="C16" s="6"/>
      <c r="D16" s="6"/>
      <c r="E16" s="6"/>
      <c r="F16" s="8">
        <f>1-F11</f>
        <v>0.3</v>
      </c>
      <c r="G16" s="8">
        <f t="shared" ref="G16:K16" si="10">1-G11</f>
        <v>0.28599999999999998</v>
      </c>
      <c r="H16" s="8">
        <f t="shared" si="10"/>
        <v>0.27200000000000002</v>
      </c>
      <c r="I16" s="8">
        <f t="shared" si="10"/>
        <v>0.25900000000000001</v>
      </c>
      <c r="J16" s="8">
        <f t="shared" si="10"/>
        <v>0.246</v>
      </c>
      <c r="K16" s="8">
        <f t="shared" si="10"/>
        <v>0.23400000000000001</v>
      </c>
      <c r="L16" s="8"/>
    </row>
    <row r="17" spans="1:14" x14ac:dyDescent="0.2">
      <c r="A17" s="8"/>
      <c r="B17" s="53" t="s">
        <v>84</v>
      </c>
      <c r="C17" s="6"/>
      <c r="D17" s="6"/>
      <c r="E17" s="6"/>
      <c r="F17" s="6">
        <f>F9*F16</f>
        <v>-19.5</v>
      </c>
      <c r="G17" s="6">
        <f>F17*(1+G18)</f>
        <v>-19.7</v>
      </c>
      <c r="H17" s="6">
        <f t="shared" ref="H17:K17" si="11">G17*(1+H18)</f>
        <v>-19.899999999999999</v>
      </c>
      <c r="I17" s="6">
        <f t="shared" si="11"/>
        <v>-20.100000000000001</v>
      </c>
      <c r="J17" s="6">
        <f t="shared" si="11"/>
        <v>-20.3</v>
      </c>
      <c r="K17" s="6">
        <f t="shared" si="11"/>
        <v>-20.5</v>
      </c>
      <c r="L17" s="8"/>
    </row>
    <row r="18" spans="1:14" x14ac:dyDescent="0.2">
      <c r="B18" s="54" t="s">
        <v>83</v>
      </c>
      <c r="G18" s="9">
        <v>0.01</v>
      </c>
      <c r="H18" s="9">
        <v>0.01</v>
      </c>
      <c r="I18" s="9">
        <v>0.01</v>
      </c>
      <c r="J18" s="9">
        <v>0.01</v>
      </c>
      <c r="K18" s="9">
        <v>0.01</v>
      </c>
    </row>
    <row r="19" spans="1:14" x14ac:dyDescent="0.2">
      <c r="G19" s="55"/>
      <c r="H19" s="55"/>
      <c r="I19" s="55"/>
      <c r="J19" s="55"/>
      <c r="K19" s="55"/>
    </row>
    <row r="20" spans="1:14" x14ac:dyDescent="0.2">
      <c r="B20" s="12" t="s">
        <v>3</v>
      </c>
      <c r="C20" s="14">
        <f t="shared" ref="C20:K20" si="12">C4+C9</f>
        <v>50</v>
      </c>
      <c r="D20" s="14">
        <f t="shared" si="12"/>
        <v>65</v>
      </c>
      <c r="E20" s="14">
        <f t="shared" si="12"/>
        <v>80</v>
      </c>
      <c r="F20" s="14">
        <f t="shared" si="12"/>
        <v>85</v>
      </c>
      <c r="G20" s="14">
        <f t="shared" si="12"/>
        <v>91.8</v>
      </c>
      <c r="H20" s="14">
        <f t="shared" si="12"/>
        <v>99</v>
      </c>
      <c r="I20" s="14">
        <f t="shared" si="12"/>
        <v>106.7</v>
      </c>
      <c r="J20" s="14">
        <f t="shared" si="12"/>
        <v>114.9</v>
      </c>
      <c r="K20" s="14">
        <f t="shared" si="12"/>
        <v>123.7</v>
      </c>
      <c r="M20" s="60">
        <f>(F20/C20)^(1/($F$2-$C$2))-1</f>
        <v>0.193</v>
      </c>
      <c r="N20" s="60">
        <f>(K20/G20)^(1/($K$2-$G$2))-1</f>
        <v>7.6999999999999999E-2</v>
      </c>
    </row>
    <row r="21" spans="1:14" x14ac:dyDescent="0.2">
      <c r="B21" s="7" t="s">
        <v>29</v>
      </c>
      <c r="C21" s="8">
        <f t="shared" ref="C21:K21" si="13">C20/C4</f>
        <v>0.5</v>
      </c>
      <c r="D21" s="8">
        <f t="shared" si="13"/>
        <v>0.54200000000000004</v>
      </c>
      <c r="E21" s="8">
        <f t="shared" si="13"/>
        <v>0.57099999999999995</v>
      </c>
      <c r="F21" s="8">
        <f t="shared" si="13"/>
        <v>0.56699999999999995</v>
      </c>
      <c r="G21" s="8">
        <f t="shared" si="13"/>
        <v>0.57099999999999995</v>
      </c>
      <c r="H21" s="8">
        <f t="shared" si="13"/>
        <v>0.57499999999999996</v>
      </c>
      <c r="I21" s="8">
        <f t="shared" si="13"/>
        <v>0.57899999999999996</v>
      </c>
      <c r="J21" s="8">
        <f t="shared" si="13"/>
        <v>0.58199999999999996</v>
      </c>
      <c r="K21" s="8">
        <f t="shared" si="13"/>
        <v>0.58499999999999996</v>
      </c>
    </row>
    <row r="23" spans="1:14" x14ac:dyDescent="0.2">
      <c r="B23" s="12" t="s">
        <v>108</v>
      </c>
      <c r="C23" s="56">
        <v>-20</v>
      </c>
      <c r="D23" s="56">
        <v>-22</v>
      </c>
      <c r="E23" s="56">
        <v>-25</v>
      </c>
      <c r="F23" s="56">
        <v>-27</v>
      </c>
      <c r="G23" s="13">
        <f>F23*(1+G24)</f>
        <v>-27.8</v>
      </c>
      <c r="H23" s="13">
        <f t="shared" ref="H23:K23" si="14">G23*(1+H24)</f>
        <v>-28.6</v>
      </c>
      <c r="I23" s="13">
        <f t="shared" si="14"/>
        <v>-29.5</v>
      </c>
      <c r="J23" s="13">
        <f t="shared" si="14"/>
        <v>-30.4</v>
      </c>
      <c r="K23" s="13">
        <f t="shared" si="14"/>
        <v>-31.3</v>
      </c>
      <c r="M23" s="60">
        <f>(F23/C23)^(1/($F$2-$C$2))-1</f>
        <v>0.105</v>
      </c>
      <c r="N23" s="60">
        <f>(K23/G23)^(1/($K$2-$G$2))-1</f>
        <v>0.03</v>
      </c>
    </row>
    <row r="24" spans="1:14" x14ac:dyDescent="0.2">
      <c r="B24" s="7" t="s">
        <v>28</v>
      </c>
      <c r="C24" s="6"/>
      <c r="D24" s="8">
        <f>D23/C23-1</f>
        <v>0.1</v>
      </c>
      <c r="E24" s="8">
        <f t="shared" ref="E24:F24" si="15">E23/D23-1</f>
        <v>0.13600000000000001</v>
      </c>
      <c r="F24" s="8">
        <f t="shared" si="15"/>
        <v>0.08</v>
      </c>
      <c r="G24" s="9">
        <v>0.03</v>
      </c>
      <c r="H24" s="9">
        <v>0.03</v>
      </c>
      <c r="I24" s="9">
        <v>0.03</v>
      </c>
      <c r="J24" s="9">
        <v>0.03</v>
      </c>
      <c r="K24" s="9">
        <v>0.03</v>
      </c>
    </row>
    <row r="25" spans="1:14" x14ac:dyDescent="0.2">
      <c r="B25" s="7" t="s">
        <v>29</v>
      </c>
      <c r="C25" s="8">
        <f>-C23/C4</f>
        <v>0.2</v>
      </c>
      <c r="D25" s="8">
        <f>-D23/D4</f>
        <v>0.183</v>
      </c>
      <c r="E25" s="8">
        <f>-E23/E4</f>
        <v>0.17899999999999999</v>
      </c>
      <c r="F25" s="8">
        <f>-F23/F4</f>
        <v>0.18</v>
      </c>
      <c r="G25" s="8">
        <f t="shared" ref="G25:K25" si="16">-G23/G4</f>
        <v>0.17299999999999999</v>
      </c>
      <c r="H25" s="8">
        <f t="shared" si="16"/>
        <v>0.16600000000000001</v>
      </c>
      <c r="I25" s="8">
        <f t="shared" si="16"/>
        <v>0.16</v>
      </c>
      <c r="J25" s="8">
        <f t="shared" si="16"/>
        <v>0.154</v>
      </c>
      <c r="K25" s="8">
        <f t="shared" si="16"/>
        <v>0.14799999999999999</v>
      </c>
    </row>
    <row r="27" spans="1:14" x14ac:dyDescent="0.2">
      <c r="B27" s="12" t="s">
        <v>85</v>
      </c>
      <c r="C27" s="56">
        <v>-2</v>
      </c>
      <c r="D27" s="56">
        <v>-2</v>
      </c>
      <c r="E27" s="56">
        <v>-2</v>
      </c>
      <c r="F27" s="56">
        <v>-2</v>
      </c>
      <c r="G27" s="13">
        <f t="shared" ref="G27:K27" si="17">G4*G28</f>
        <v>-1.9</v>
      </c>
      <c r="H27" s="13">
        <f t="shared" si="17"/>
        <v>-2.1</v>
      </c>
      <c r="I27" s="13">
        <f t="shared" si="17"/>
        <v>-2.2000000000000002</v>
      </c>
      <c r="J27" s="13">
        <f t="shared" si="17"/>
        <v>-2.4</v>
      </c>
      <c r="K27" s="13">
        <f t="shared" si="17"/>
        <v>-2.5</v>
      </c>
      <c r="M27" s="60">
        <f>(F27/C27)^(1/($F$2-$C$2))-1</f>
        <v>0</v>
      </c>
      <c r="N27" s="60">
        <f>(K27/G27)^(1/($K$2-$G$2))-1</f>
        <v>7.0999999999999994E-2</v>
      </c>
    </row>
    <row r="28" spans="1:14" x14ac:dyDescent="0.2">
      <c r="B28" s="7" t="s">
        <v>29</v>
      </c>
      <c r="C28" s="8">
        <f>C27/C4</f>
        <v>-0.02</v>
      </c>
      <c r="D28" s="8">
        <f t="shared" ref="D28:F28" si="18">D27/D4</f>
        <v>-1.7000000000000001E-2</v>
      </c>
      <c r="E28" s="8">
        <f t="shared" si="18"/>
        <v>-1.4E-2</v>
      </c>
      <c r="F28" s="8">
        <f t="shared" si="18"/>
        <v>-1.2999999999999999E-2</v>
      </c>
      <c r="G28" s="57">
        <v>-1.2E-2</v>
      </c>
      <c r="H28" s="57">
        <v>-1.2E-2</v>
      </c>
      <c r="I28" s="57">
        <v>-1.2E-2</v>
      </c>
      <c r="J28" s="57">
        <v>-1.2E-2</v>
      </c>
      <c r="K28" s="57">
        <v>-1.2E-2</v>
      </c>
    </row>
    <row r="29" spans="1:14" x14ac:dyDescent="0.2">
      <c r="C29" s="10"/>
      <c r="D29" s="10"/>
      <c r="E29" s="10"/>
      <c r="F29" s="10"/>
    </row>
    <row r="30" spans="1:14" x14ac:dyDescent="0.2">
      <c r="B30" s="12" t="s">
        <v>32</v>
      </c>
      <c r="C30" s="15">
        <f>C20+C23+C27</f>
        <v>28</v>
      </c>
      <c r="D30" s="15">
        <f t="shared" ref="D30:J30" si="19">D20+D23+D27</f>
        <v>41</v>
      </c>
      <c r="E30" s="15">
        <f t="shared" si="19"/>
        <v>53</v>
      </c>
      <c r="F30" s="15">
        <f t="shared" si="19"/>
        <v>56</v>
      </c>
      <c r="G30" s="15">
        <f>G20+G23+G27</f>
        <v>62.1</v>
      </c>
      <c r="H30" s="15">
        <f t="shared" si="19"/>
        <v>68.3</v>
      </c>
      <c r="I30" s="15">
        <f t="shared" si="19"/>
        <v>75</v>
      </c>
      <c r="J30" s="15">
        <f t="shared" si="19"/>
        <v>82.1</v>
      </c>
      <c r="K30" s="15">
        <f>K20+K23+K27</f>
        <v>89.9</v>
      </c>
      <c r="M30" s="60">
        <f>(F30/C30)^(1/($F$2-$C$2))-1</f>
        <v>0.26</v>
      </c>
      <c r="N30" s="60">
        <f>(K30/G30)^(1/($K$2-$G$2))-1</f>
        <v>9.7000000000000003E-2</v>
      </c>
    </row>
    <row r="31" spans="1:14" x14ac:dyDescent="0.2">
      <c r="B31" s="7" t="s">
        <v>29</v>
      </c>
      <c r="C31" s="16">
        <f t="shared" ref="C31:K31" si="20">IF(C30="N/A","N/A",C30/C4)</f>
        <v>0.28000000000000003</v>
      </c>
      <c r="D31" s="16">
        <f t="shared" si="20"/>
        <v>0.34200000000000003</v>
      </c>
      <c r="E31" s="16">
        <f t="shared" si="20"/>
        <v>0.379</v>
      </c>
      <c r="F31" s="16">
        <f t="shared" si="20"/>
        <v>0.373</v>
      </c>
      <c r="G31" s="8">
        <f t="shared" si="20"/>
        <v>0.38600000000000001</v>
      </c>
      <c r="H31" s="8">
        <f t="shared" si="20"/>
        <v>0.39700000000000002</v>
      </c>
      <c r="I31" s="8">
        <f t="shared" si="20"/>
        <v>0.40699999999999997</v>
      </c>
      <c r="J31" s="8">
        <f t="shared" si="20"/>
        <v>0.41599999999999998</v>
      </c>
      <c r="K31" s="8">
        <f t="shared" si="20"/>
        <v>0.42499999999999999</v>
      </c>
    </row>
    <row r="32" spans="1:14" x14ac:dyDescent="0.2">
      <c r="C32" s="10"/>
      <c r="D32" s="10"/>
      <c r="E32" s="10"/>
      <c r="F32" s="10"/>
    </row>
    <row r="33" spans="2:14" x14ac:dyDescent="0.2">
      <c r="B33" s="12" t="s">
        <v>9</v>
      </c>
      <c r="C33" s="56">
        <v>10</v>
      </c>
      <c r="D33" s="56">
        <v>15</v>
      </c>
      <c r="E33" s="56">
        <v>20</v>
      </c>
      <c r="F33" s="56">
        <v>25</v>
      </c>
      <c r="G33" s="13">
        <f>G4*G34</f>
        <v>24.1</v>
      </c>
      <c r="H33" s="13">
        <f t="shared" ref="H33:K33" si="21">H4*H34</f>
        <v>25.8</v>
      </c>
      <c r="I33" s="13">
        <f t="shared" si="21"/>
        <v>27.6</v>
      </c>
      <c r="J33" s="13">
        <f t="shared" si="21"/>
        <v>29.6</v>
      </c>
      <c r="K33" s="13">
        <f t="shared" si="21"/>
        <v>31.7</v>
      </c>
      <c r="M33" s="60">
        <f>(F33/C33)^(1/($F$2-$C$2))-1</f>
        <v>0.35699999999999998</v>
      </c>
      <c r="N33" s="60">
        <f>(K33/G33)^(1/($K$2-$G$2))-1</f>
        <v>7.0999999999999994E-2</v>
      </c>
    </row>
    <row r="34" spans="2:14" x14ac:dyDescent="0.2">
      <c r="B34" s="7" t="s">
        <v>29</v>
      </c>
      <c r="C34" s="8">
        <f t="shared" ref="C34:F34" si="22">C33/C4</f>
        <v>0.1</v>
      </c>
      <c r="D34" s="8">
        <f t="shared" si="22"/>
        <v>0.125</v>
      </c>
      <c r="E34" s="8">
        <f t="shared" si="22"/>
        <v>0.14299999999999999</v>
      </c>
      <c r="F34" s="8">
        <f t="shared" si="22"/>
        <v>0.16700000000000001</v>
      </c>
      <c r="G34" s="57">
        <v>0.15</v>
      </c>
      <c r="H34" s="57">
        <v>0.15</v>
      </c>
      <c r="I34" s="57">
        <v>0.15</v>
      </c>
      <c r="J34" s="57">
        <v>0.15</v>
      </c>
      <c r="K34" s="57">
        <v>0.15</v>
      </c>
    </row>
    <row r="35" spans="2:14" x14ac:dyDescent="0.2">
      <c r="C35" s="10"/>
      <c r="D35" s="10"/>
      <c r="E35" s="10"/>
      <c r="F35" s="10"/>
    </row>
    <row r="36" spans="2:14" x14ac:dyDescent="0.2">
      <c r="B36" s="12" t="s">
        <v>4</v>
      </c>
      <c r="C36" s="14">
        <f>C30-C33</f>
        <v>18</v>
      </c>
      <c r="D36" s="14">
        <f t="shared" ref="D36:K36" si="23">D30-D33</f>
        <v>26</v>
      </c>
      <c r="E36" s="14">
        <f t="shared" si="23"/>
        <v>33</v>
      </c>
      <c r="F36" s="14">
        <f t="shared" si="23"/>
        <v>31</v>
      </c>
      <c r="G36" s="14">
        <f t="shared" si="23"/>
        <v>38</v>
      </c>
      <c r="H36" s="14">
        <f t="shared" si="23"/>
        <v>42.5</v>
      </c>
      <c r="I36" s="14">
        <f t="shared" si="23"/>
        <v>47.4</v>
      </c>
      <c r="J36" s="14">
        <f t="shared" si="23"/>
        <v>52.5</v>
      </c>
      <c r="K36" s="14">
        <f t="shared" si="23"/>
        <v>58.2</v>
      </c>
      <c r="M36" s="60">
        <f>(F36/C36)^(1/($F$2-$C$2))-1</f>
        <v>0.19900000000000001</v>
      </c>
      <c r="N36" s="60">
        <f>(K36/G36)^(1/($K$2-$G$2))-1</f>
        <v>0.112</v>
      </c>
    </row>
    <row r="37" spans="2:14" x14ac:dyDescent="0.2">
      <c r="B37" s="7" t="s">
        <v>29</v>
      </c>
      <c r="C37" s="8">
        <f t="shared" ref="C37:K37" si="24">C36/C4</f>
        <v>0.18</v>
      </c>
      <c r="D37" s="8">
        <f t="shared" si="24"/>
        <v>0.217</v>
      </c>
      <c r="E37" s="8">
        <f t="shared" si="24"/>
        <v>0.23599999999999999</v>
      </c>
      <c r="F37" s="8">
        <f t="shared" si="24"/>
        <v>0.20699999999999999</v>
      </c>
      <c r="G37" s="8">
        <f t="shared" si="24"/>
        <v>0.23599999999999999</v>
      </c>
      <c r="H37" s="8">
        <f t="shared" si="24"/>
        <v>0.247</v>
      </c>
      <c r="I37" s="8">
        <f t="shared" si="24"/>
        <v>0.25700000000000001</v>
      </c>
      <c r="J37" s="8">
        <f t="shared" si="24"/>
        <v>0.26600000000000001</v>
      </c>
      <c r="K37" s="8">
        <f t="shared" si="24"/>
        <v>0.27500000000000002</v>
      </c>
    </row>
    <row r="39" spans="2:14" x14ac:dyDescent="0.2">
      <c r="B39" s="12" t="s">
        <v>31</v>
      </c>
      <c r="C39" s="56">
        <v>-30</v>
      </c>
      <c r="D39" s="56">
        <v>-35</v>
      </c>
      <c r="E39" s="56">
        <v>-40</v>
      </c>
      <c r="F39" s="56">
        <v>-45</v>
      </c>
      <c r="G39" s="13">
        <f>G4*G40*-1</f>
        <v>-48.2</v>
      </c>
      <c r="H39" s="13">
        <f t="shared" ref="H39:K39" si="25">H4*H40*-1</f>
        <v>-43</v>
      </c>
      <c r="I39" s="13">
        <f t="shared" si="25"/>
        <v>-36.9</v>
      </c>
      <c r="J39" s="13">
        <f t="shared" si="25"/>
        <v>-29.6</v>
      </c>
      <c r="K39" s="13">
        <f t="shared" si="25"/>
        <v>-31.7</v>
      </c>
      <c r="M39" s="60">
        <f>(F39/C39)^(1/($F$2-$C$2))-1</f>
        <v>0.14499999999999999</v>
      </c>
      <c r="N39" s="60">
        <f>(K39/G39)^(1/($K$2-$G$2))-1</f>
        <v>-9.9000000000000005E-2</v>
      </c>
    </row>
    <row r="40" spans="2:14" x14ac:dyDescent="0.2">
      <c r="B40" s="7" t="s">
        <v>29</v>
      </c>
      <c r="C40" s="8">
        <f>-C39/C4</f>
        <v>0.3</v>
      </c>
      <c r="D40" s="8">
        <f t="shared" ref="D40:F40" si="26">-D39/D4</f>
        <v>0.29199999999999998</v>
      </c>
      <c r="E40" s="8">
        <f t="shared" si="26"/>
        <v>0.28599999999999998</v>
      </c>
      <c r="F40" s="8">
        <f t="shared" si="26"/>
        <v>0.3</v>
      </c>
      <c r="G40" s="9">
        <v>0.3</v>
      </c>
      <c r="H40" s="9">
        <v>0.25</v>
      </c>
      <c r="I40" s="9">
        <v>0.2</v>
      </c>
      <c r="J40" s="9">
        <v>0.15</v>
      </c>
      <c r="K40" s="9">
        <v>0.15</v>
      </c>
    </row>
    <row r="42" spans="2:14" x14ac:dyDescent="0.2">
      <c r="B42" s="12" t="s">
        <v>33</v>
      </c>
      <c r="C42" s="56">
        <v>15</v>
      </c>
      <c r="D42" s="56">
        <v>17</v>
      </c>
      <c r="E42" s="56">
        <v>18</v>
      </c>
      <c r="F42" s="56">
        <v>20</v>
      </c>
      <c r="G42" s="14">
        <f>G4*G43</f>
        <v>20.9</v>
      </c>
      <c r="H42" s="14">
        <f t="shared" ref="H42:K42" si="27">H4*H43</f>
        <v>22.4</v>
      </c>
      <c r="I42" s="14">
        <f t="shared" si="27"/>
        <v>24</v>
      </c>
      <c r="J42" s="14">
        <f t="shared" si="27"/>
        <v>25.7</v>
      </c>
      <c r="K42" s="14">
        <f t="shared" si="27"/>
        <v>27.5</v>
      </c>
      <c r="M42" s="60">
        <f>(F42/C42)^(1/($F$2-$C$2))-1</f>
        <v>0.10100000000000001</v>
      </c>
      <c r="N42" s="60">
        <f>(K42/G42)^(1/($K$2-$G$2))-1</f>
        <v>7.0999999999999994E-2</v>
      </c>
    </row>
    <row r="43" spans="2:14" x14ac:dyDescent="0.2">
      <c r="B43" s="7" t="s">
        <v>29</v>
      </c>
      <c r="C43" s="8">
        <f>C42/C4</f>
        <v>0.15</v>
      </c>
      <c r="D43" s="8">
        <f>D42/D4</f>
        <v>0.14199999999999999</v>
      </c>
      <c r="E43" s="8">
        <f>E42/E4</f>
        <v>0.129</v>
      </c>
      <c r="F43" s="8">
        <f>F42/F4</f>
        <v>0.13300000000000001</v>
      </c>
      <c r="G43" s="9">
        <v>0.13</v>
      </c>
      <c r="H43" s="9">
        <v>0.13</v>
      </c>
      <c r="I43" s="9">
        <v>0.13</v>
      </c>
      <c r="J43" s="9">
        <v>0.13</v>
      </c>
      <c r="K43" s="9">
        <v>0.13</v>
      </c>
    </row>
    <row r="44" spans="2:14" x14ac:dyDescent="0.2">
      <c r="B44" s="7" t="s">
        <v>34</v>
      </c>
      <c r="C44" s="10"/>
      <c r="D44" s="10">
        <f t="shared" ref="D44:K44" si="28">D42-C42</f>
        <v>2</v>
      </c>
      <c r="E44" s="10">
        <f t="shared" si="28"/>
        <v>1</v>
      </c>
      <c r="F44" s="10">
        <f t="shared" si="28"/>
        <v>2</v>
      </c>
      <c r="G44" s="10">
        <f t="shared" si="28"/>
        <v>0.9</v>
      </c>
      <c r="H44" s="10">
        <f t="shared" si="28"/>
        <v>1.5</v>
      </c>
      <c r="I44" s="10">
        <f t="shared" si="28"/>
        <v>1.6</v>
      </c>
      <c r="J44" s="10">
        <f t="shared" si="28"/>
        <v>1.7</v>
      </c>
      <c r="K44" s="10">
        <f t="shared" si="28"/>
        <v>1.8</v>
      </c>
    </row>
    <row r="45" spans="2:14" x14ac:dyDescent="0.2">
      <c r="B45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8"/>
  <sheetViews>
    <sheetView zoomScale="145" zoomScaleNormal="145" workbookViewId="0">
      <pane xSplit="3" ySplit="2" topLeftCell="D41" activePane="bottomRight" state="frozen"/>
      <selection pane="topRight" activeCell="D1" sqref="D1"/>
      <selection pane="bottomLeft" activeCell="A3" sqref="A3"/>
      <selection pane="bottomRight" activeCell="D30" sqref="D30"/>
    </sheetView>
  </sheetViews>
  <sheetFormatPr defaultRowHeight="12.75" x14ac:dyDescent="0.2"/>
  <cols>
    <col min="1" max="1" width="3.85546875" style="3" customWidth="1"/>
    <col min="2" max="2" width="46.5703125" style="3" customWidth="1"/>
    <col min="3" max="3" width="6.140625" style="3" customWidth="1"/>
    <col min="4" max="4" width="13" style="3" bestFit="1" customWidth="1"/>
    <col min="5" max="6" width="13.7109375" style="3" bestFit="1" customWidth="1"/>
    <col min="7" max="7" width="14.7109375" style="3" bestFit="1" customWidth="1"/>
    <col min="8" max="8" width="13.42578125" style="3" bestFit="1" customWidth="1"/>
    <col min="9" max="9" width="14.140625" style="3" bestFit="1" customWidth="1"/>
    <col min="10" max="10" width="2.42578125" style="3" customWidth="1"/>
    <col min="11" max="12" width="12.28515625" style="3" bestFit="1" customWidth="1"/>
    <col min="13" max="16384" width="9.140625" style="3"/>
  </cols>
  <sheetData>
    <row r="1" spans="2:10" x14ac:dyDescent="0.2">
      <c r="B1" s="2"/>
      <c r="C1" s="4"/>
      <c r="D1" s="4"/>
      <c r="E1" s="4"/>
      <c r="F1" s="4"/>
      <c r="G1" s="4"/>
      <c r="H1" s="5"/>
      <c r="I1" s="5"/>
    </row>
    <row r="2" spans="2:10" x14ac:dyDescent="0.2">
      <c r="B2" s="2" t="s">
        <v>54</v>
      </c>
      <c r="C2" s="4"/>
      <c r="D2" s="4"/>
      <c r="E2" s="5">
        <f>'Операционный блок'!G2</f>
        <v>2014</v>
      </c>
      <c r="F2" s="5">
        <f>'Операционный блок'!H2</f>
        <v>2015</v>
      </c>
      <c r="G2" s="5">
        <f>'Операционный блок'!I2</f>
        <v>2016</v>
      </c>
      <c r="H2" s="5">
        <f>'Операционный блок'!J2</f>
        <v>2017</v>
      </c>
      <c r="I2" s="5">
        <f>'Операционный блок'!K2</f>
        <v>2018</v>
      </c>
    </row>
    <row r="4" spans="2:10" x14ac:dyDescent="0.2">
      <c r="B4" s="33" t="s">
        <v>35</v>
      </c>
      <c r="C4" s="34"/>
      <c r="D4" s="34"/>
      <c r="E4" s="35">
        <f>IF($C$13=$C$14,E18,E19)</f>
        <v>7.0999999999999994E-2</v>
      </c>
      <c r="F4" s="35">
        <f>IF($C$13=$C$14,F18,F19)</f>
        <v>7.0999999999999994E-2</v>
      </c>
      <c r="G4" s="35">
        <f>IF($C$13=$C$14,G18,G19)</f>
        <v>7.0999999999999994E-2</v>
      </c>
      <c r="H4" s="35">
        <f>IF($C$13=$C$14,H18,H19)</f>
        <v>7.0999999999999994E-2</v>
      </c>
      <c r="I4" s="36">
        <f>IF($C$13=$C$14,I18,I19)</f>
        <v>7.0999999999999994E-2</v>
      </c>
    </row>
    <row r="5" spans="2:10" x14ac:dyDescent="0.2">
      <c r="B5" s="37" t="s">
        <v>36</v>
      </c>
      <c r="E5" s="8">
        <f>IF($C$13=$C$14,E22,E23)</f>
        <v>0.23599999999999999</v>
      </c>
      <c r="F5" s="8">
        <f>IF($C$13=$C$14,F22,F23)</f>
        <v>0.247</v>
      </c>
      <c r="G5" s="8">
        <f>IF($C$13=$C$14,G22,G23)</f>
        <v>0.25700000000000001</v>
      </c>
      <c r="H5" s="8">
        <f>IF($C$13=$C$14,H22,H23)</f>
        <v>0.26600000000000001</v>
      </c>
      <c r="I5" s="38">
        <f>IF($C$13=$C$14,I22,I23)</f>
        <v>0.27500000000000002</v>
      </c>
    </row>
    <row r="6" spans="2:10" x14ac:dyDescent="0.2">
      <c r="B6" s="37" t="s">
        <v>38</v>
      </c>
      <c r="E6" s="8">
        <f>'Операционный блок'!G34</f>
        <v>0.15</v>
      </c>
      <c r="F6" s="8">
        <f>'Операционный блок'!H34</f>
        <v>0.15</v>
      </c>
      <c r="G6" s="8">
        <f>'Операционный блок'!I34</f>
        <v>0.15</v>
      </c>
      <c r="H6" s="8">
        <f>'Операционный блок'!J34</f>
        <v>0.15</v>
      </c>
      <c r="I6" s="38">
        <f>'Операционный блок'!K34</f>
        <v>0.15</v>
      </c>
    </row>
    <row r="7" spans="2:10" x14ac:dyDescent="0.2">
      <c r="B7" s="37" t="s">
        <v>39</v>
      </c>
      <c r="E7" s="8">
        <f>IF($C$13=$C$14,E26,E27)</f>
        <v>0.3</v>
      </c>
      <c r="F7" s="8">
        <f t="shared" ref="F7:I7" si="0">IF($C$13=$C$14,F26,F27)</f>
        <v>0.25</v>
      </c>
      <c r="G7" s="8">
        <f t="shared" si="0"/>
        <v>0.2</v>
      </c>
      <c r="H7" s="8">
        <f t="shared" si="0"/>
        <v>0.15</v>
      </c>
      <c r="I7" s="38">
        <f t="shared" si="0"/>
        <v>0.15</v>
      </c>
      <c r="J7" s="8"/>
    </row>
    <row r="8" spans="2:10" x14ac:dyDescent="0.2">
      <c r="B8" s="37" t="s">
        <v>37</v>
      </c>
      <c r="E8" s="8">
        <f>IF($C$13=$C$14,E30,E31)</f>
        <v>0.13</v>
      </c>
      <c r="F8" s="8">
        <f t="shared" ref="F8:I8" si="1">IF($C$13=$C$14,F30,F31)</f>
        <v>0.13</v>
      </c>
      <c r="G8" s="8">
        <f t="shared" si="1"/>
        <v>0.13</v>
      </c>
      <c r="H8" s="8">
        <f t="shared" si="1"/>
        <v>0.13</v>
      </c>
      <c r="I8" s="38">
        <f t="shared" si="1"/>
        <v>0.13</v>
      </c>
    </row>
    <row r="9" spans="2:10" x14ac:dyDescent="0.2">
      <c r="B9" s="37" t="s">
        <v>6</v>
      </c>
      <c r="E9" s="9">
        <v>0.2</v>
      </c>
      <c r="F9" s="9">
        <v>0.2</v>
      </c>
      <c r="G9" s="9">
        <v>0.2</v>
      </c>
      <c r="H9" s="9">
        <v>0.2</v>
      </c>
      <c r="I9" s="39">
        <v>0.2</v>
      </c>
    </row>
    <row r="10" spans="2:10" x14ac:dyDescent="0.2">
      <c r="B10" s="37" t="s">
        <v>71</v>
      </c>
      <c r="E10" s="9">
        <v>0.16</v>
      </c>
      <c r="F10" s="9">
        <v>0.16</v>
      </c>
      <c r="G10" s="9">
        <v>0.16</v>
      </c>
      <c r="H10" s="9">
        <v>0.16</v>
      </c>
      <c r="I10" s="39">
        <v>0.16</v>
      </c>
    </row>
    <row r="11" spans="2:10" x14ac:dyDescent="0.2">
      <c r="B11" s="40" t="s">
        <v>70</v>
      </c>
      <c r="C11" s="41"/>
      <c r="D11" s="41"/>
      <c r="E11" s="42">
        <v>0</v>
      </c>
      <c r="F11" s="42">
        <v>0.1</v>
      </c>
      <c r="G11" s="42">
        <v>0.3</v>
      </c>
      <c r="H11" s="42">
        <v>0.3</v>
      </c>
      <c r="I11" s="43">
        <v>0.3</v>
      </c>
    </row>
    <row r="13" spans="2:10" x14ac:dyDescent="0.2">
      <c r="B13" s="33" t="s">
        <v>40</v>
      </c>
      <c r="C13" s="44">
        <v>1</v>
      </c>
    </row>
    <row r="14" spans="2:10" x14ac:dyDescent="0.2">
      <c r="B14" s="45" t="s">
        <v>114</v>
      </c>
      <c r="C14" s="46">
        <v>1</v>
      </c>
    </row>
    <row r="15" spans="2:10" x14ac:dyDescent="0.2">
      <c r="B15" s="47" t="s">
        <v>115</v>
      </c>
      <c r="C15" s="48">
        <v>2</v>
      </c>
    </row>
    <row r="17" spans="2:10" x14ac:dyDescent="0.2">
      <c r="B17" s="3" t="s">
        <v>35</v>
      </c>
    </row>
    <row r="18" spans="2:10" x14ac:dyDescent="0.2">
      <c r="B18" s="7" t="str">
        <f>$B$14</f>
        <v>Базовый</v>
      </c>
      <c r="E18" s="8">
        <f>'Операционный блок'!G7</f>
        <v>7.0999999999999994E-2</v>
      </c>
      <c r="F18" s="8">
        <f>'Операционный блок'!H7</f>
        <v>7.0999999999999994E-2</v>
      </c>
      <c r="G18" s="8">
        <f>'Операционный блок'!I7</f>
        <v>7.0999999999999994E-2</v>
      </c>
      <c r="H18" s="8">
        <f>'Операционный блок'!J7</f>
        <v>7.0999999999999994E-2</v>
      </c>
      <c r="I18" s="8">
        <f>'Операционный блок'!K7</f>
        <v>7.0999999999999994E-2</v>
      </c>
      <c r="J18" s="8"/>
    </row>
    <row r="19" spans="2:10" x14ac:dyDescent="0.2">
      <c r="B19" s="7" t="str">
        <f>$B$15</f>
        <v>Новая стратегия</v>
      </c>
      <c r="E19" s="9">
        <v>0.2</v>
      </c>
      <c r="F19" s="9">
        <v>0.2</v>
      </c>
      <c r="G19" s="9">
        <v>0.2</v>
      </c>
      <c r="H19" s="9">
        <v>0.2</v>
      </c>
      <c r="I19" s="9">
        <v>0.2</v>
      </c>
    </row>
    <row r="21" spans="2:10" x14ac:dyDescent="0.2">
      <c r="B21" s="3" t="s">
        <v>36</v>
      </c>
    </row>
    <row r="22" spans="2:10" x14ac:dyDescent="0.2">
      <c r="B22" s="7" t="str">
        <f>$B$14</f>
        <v>Базовый</v>
      </c>
      <c r="E22" s="8">
        <f>'Операционный блок'!G37</f>
        <v>0.23599999999999999</v>
      </c>
      <c r="F22" s="8">
        <f>'Операционный блок'!H37</f>
        <v>0.247</v>
      </c>
      <c r="G22" s="8">
        <f>'Операционный блок'!I37</f>
        <v>0.25700000000000001</v>
      </c>
      <c r="H22" s="8">
        <f>'Операционный блок'!J37</f>
        <v>0.26600000000000001</v>
      </c>
      <c r="I22" s="8">
        <f>'Операционный блок'!K37</f>
        <v>0.27500000000000002</v>
      </c>
    </row>
    <row r="23" spans="2:10" x14ac:dyDescent="0.2">
      <c r="B23" s="7" t="str">
        <f>$B$15</f>
        <v>Новая стратегия</v>
      </c>
      <c r="E23" s="9">
        <v>0.2</v>
      </c>
      <c r="F23" s="9">
        <v>0.2</v>
      </c>
      <c r="G23" s="9">
        <v>0.2</v>
      </c>
      <c r="H23" s="9">
        <v>0.2</v>
      </c>
      <c r="I23" s="9">
        <v>0.2</v>
      </c>
    </row>
    <row r="24" spans="2:10" x14ac:dyDescent="0.2">
      <c r="B24" s="7"/>
      <c r="C24" s="7"/>
      <c r="D24" s="7"/>
      <c r="E24" s="7"/>
      <c r="F24" s="7"/>
      <c r="G24" s="7"/>
      <c r="H24" s="7"/>
      <c r="I24" s="7"/>
    </row>
    <row r="25" spans="2:10" x14ac:dyDescent="0.2">
      <c r="B25" s="3" t="s">
        <v>39</v>
      </c>
      <c r="C25" s="7"/>
      <c r="D25" s="7"/>
      <c r="E25" s="7"/>
      <c r="F25" s="7"/>
      <c r="G25" s="7"/>
      <c r="H25" s="7"/>
      <c r="I25" s="7"/>
    </row>
    <row r="26" spans="2:10" x14ac:dyDescent="0.2">
      <c r="B26" s="7" t="str">
        <f>$B$14</f>
        <v>Базовый</v>
      </c>
      <c r="C26" s="7"/>
      <c r="D26" s="7"/>
      <c r="E26" s="8">
        <f>'Операционный блок'!G40</f>
        <v>0.3</v>
      </c>
      <c r="F26" s="8">
        <f>'Операционный блок'!H40</f>
        <v>0.25</v>
      </c>
      <c r="G26" s="8">
        <f>'Операционный блок'!I40</f>
        <v>0.2</v>
      </c>
      <c r="H26" s="8">
        <f>'Операционный блок'!J40</f>
        <v>0.15</v>
      </c>
      <c r="I26" s="8">
        <f>'Операционный блок'!K40</f>
        <v>0.15</v>
      </c>
    </row>
    <row r="27" spans="2:10" x14ac:dyDescent="0.2">
      <c r="B27" s="7" t="str">
        <f>$B$15</f>
        <v>Новая стратегия</v>
      </c>
      <c r="C27" s="7"/>
      <c r="D27" s="7"/>
      <c r="E27" s="9">
        <v>0.2</v>
      </c>
      <c r="F27" s="9">
        <v>0.2</v>
      </c>
      <c r="G27" s="9">
        <v>0.2</v>
      </c>
      <c r="H27" s="9">
        <v>0.2</v>
      </c>
      <c r="I27" s="9">
        <v>0.2</v>
      </c>
    </row>
    <row r="28" spans="2:10" x14ac:dyDescent="0.2">
      <c r="B28" s="7"/>
      <c r="C28" s="7"/>
      <c r="D28" s="7"/>
      <c r="E28" s="7"/>
      <c r="F28" s="7"/>
      <c r="G28" s="7"/>
      <c r="H28" s="7"/>
      <c r="I28" s="7"/>
    </row>
    <row r="29" spans="2:10" x14ac:dyDescent="0.2">
      <c r="B29" s="3" t="s">
        <v>37</v>
      </c>
      <c r="C29" s="7"/>
      <c r="D29" s="7"/>
      <c r="E29" s="7"/>
      <c r="F29" s="7"/>
      <c r="G29" s="7"/>
      <c r="H29" s="7"/>
      <c r="I29" s="7"/>
    </row>
    <row r="30" spans="2:10" x14ac:dyDescent="0.2">
      <c r="B30" s="7" t="str">
        <f>$B$14</f>
        <v>Базовый</v>
      </c>
      <c r="C30" s="7"/>
      <c r="D30" s="7"/>
      <c r="E30" s="8">
        <f>'Операционный блок'!G43</f>
        <v>0.13</v>
      </c>
      <c r="F30" s="8">
        <f>'Операционный блок'!H43</f>
        <v>0.13</v>
      </c>
      <c r="G30" s="8">
        <f>'Операционный блок'!I43</f>
        <v>0.13</v>
      </c>
      <c r="H30" s="8">
        <f>'Операционный блок'!J43</f>
        <v>0.13</v>
      </c>
      <c r="I30" s="8">
        <f>'Операционный блок'!K43</f>
        <v>0.13</v>
      </c>
    </row>
    <row r="31" spans="2:10" x14ac:dyDescent="0.2">
      <c r="B31" s="7" t="str">
        <f>$B$15</f>
        <v>Новая стратегия</v>
      </c>
      <c r="C31" s="7"/>
      <c r="D31" s="7"/>
      <c r="E31" s="9">
        <v>0.2</v>
      </c>
      <c r="F31" s="9">
        <v>0.2</v>
      </c>
      <c r="G31" s="9">
        <v>0.2</v>
      </c>
      <c r="H31" s="9">
        <v>0.2</v>
      </c>
      <c r="I31" s="9">
        <v>0.2</v>
      </c>
    </row>
    <row r="33" spans="2:10" x14ac:dyDescent="0.2">
      <c r="B33" s="2" t="s">
        <v>49</v>
      </c>
      <c r="C33" s="4"/>
      <c r="D33" s="4">
        <v>2013</v>
      </c>
      <c r="E33" s="5">
        <v>2014</v>
      </c>
      <c r="F33" s="5">
        <f>E33+1</f>
        <v>2015</v>
      </c>
      <c r="G33" s="5">
        <f t="shared" ref="G33:I33" si="2">F33+1</f>
        <v>2016</v>
      </c>
      <c r="H33" s="5">
        <f t="shared" si="2"/>
        <v>2017</v>
      </c>
      <c r="I33" s="5">
        <f t="shared" si="2"/>
        <v>2018</v>
      </c>
    </row>
    <row r="35" spans="2:10" x14ac:dyDescent="0.2">
      <c r="B35" s="3" t="s">
        <v>0</v>
      </c>
      <c r="D35" s="6">
        <f>'Операционный блок'!F4</f>
        <v>150</v>
      </c>
      <c r="E35" s="6">
        <f>D35*(1+E4)</f>
        <v>160.69999999999999</v>
      </c>
      <c r="F35" s="6">
        <f>E35*(1+F4)</f>
        <v>172.1</v>
      </c>
      <c r="G35" s="6">
        <f>F35*(1+G4)</f>
        <v>184.3</v>
      </c>
      <c r="H35" s="6">
        <f>G35*(1+H4)</f>
        <v>197.4</v>
      </c>
      <c r="I35" s="6">
        <f>H35*(1+I4)</f>
        <v>211.4</v>
      </c>
    </row>
    <row r="36" spans="2:10" x14ac:dyDescent="0.2">
      <c r="B36" s="3" t="s">
        <v>4</v>
      </c>
      <c r="D36" s="6"/>
      <c r="E36" s="6">
        <f>E35*E5</f>
        <v>37.9</v>
      </c>
      <c r="F36" s="6">
        <f>F35*F5</f>
        <v>42.5</v>
      </c>
      <c r="G36" s="6">
        <f>G35*G5</f>
        <v>47.4</v>
      </c>
      <c r="H36" s="6">
        <f>H35*H5</f>
        <v>52.5</v>
      </c>
      <c r="I36" s="6">
        <f>I35*I5</f>
        <v>58.1</v>
      </c>
    </row>
    <row r="37" spans="2:10" x14ac:dyDescent="0.2">
      <c r="B37" s="3" t="s">
        <v>42</v>
      </c>
      <c r="D37" s="6"/>
      <c r="E37" s="6">
        <f>(AVERAGE(D50:E50)*E10+AVERAGE(D51:E51)*E10)*-1</f>
        <v>-16.2</v>
      </c>
      <c r="F37" s="6">
        <f>(AVERAGE(E50:F50)*F10+AVERAGE(E51:F51)*F10)*-1</f>
        <v>-16.5</v>
      </c>
      <c r="G37" s="6">
        <f>(AVERAGE(F50:G50)*G10+AVERAGE(F51:G51)*G10)*-1</f>
        <v>-16.5</v>
      </c>
      <c r="H37" s="6">
        <f>(AVERAGE(G50:H50)*H10+AVERAGE(G51:H51)*H10)*-1</f>
        <v>-16.5</v>
      </c>
      <c r="I37" s="6">
        <f>(AVERAGE(H50:I50)*I10+AVERAGE(H51:I51)*I10)*-1</f>
        <v>-16.5</v>
      </c>
    </row>
    <row r="38" spans="2:10" x14ac:dyDescent="0.2">
      <c r="B38" s="3" t="s">
        <v>5</v>
      </c>
      <c r="D38" s="6"/>
      <c r="E38" s="6">
        <f>E36+E37</f>
        <v>21.7</v>
      </c>
      <c r="F38" s="6">
        <f t="shared" ref="F38:I38" si="3">F36+F37</f>
        <v>26</v>
      </c>
      <c r="G38" s="6">
        <f t="shared" si="3"/>
        <v>30.9</v>
      </c>
      <c r="H38" s="6">
        <f t="shared" si="3"/>
        <v>36</v>
      </c>
      <c r="I38" s="6">
        <f t="shared" si="3"/>
        <v>41.6</v>
      </c>
    </row>
    <row r="39" spans="2:10" x14ac:dyDescent="0.2">
      <c r="B39" s="3" t="s">
        <v>43</v>
      </c>
      <c r="D39" s="6"/>
      <c r="E39" s="6">
        <f>E38*-E9</f>
        <v>-4.3</v>
      </c>
      <c r="F39" s="6">
        <f>F38*-F9</f>
        <v>-5.2</v>
      </c>
      <c r="G39" s="6">
        <f>G38*-G9</f>
        <v>-6.2</v>
      </c>
      <c r="H39" s="6">
        <f>H38*-H9</f>
        <v>-7.2</v>
      </c>
      <c r="I39" s="6">
        <f>I38*-I9</f>
        <v>-8.3000000000000007</v>
      </c>
    </row>
    <row r="40" spans="2:10" x14ac:dyDescent="0.2">
      <c r="B40" s="3" t="s">
        <v>23</v>
      </c>
      <c r="D40" s="6"/>
      <c r="E40" s="6">
        <f>E38+E39</f>
        <v>17.399999999999999</v>
      </c>
      <c r="F40" s="6">
        <f t="shared" ref="F40:I40" si="4">F38+F39</f>
        <v>20.8</v>
      </c>
      <c r="G40" s="6">
        <f t="shared" si="4"/>
        <v>24.7</v>
      </c>
      <c r="H40" s="6">
        <f t="shared" si="4"/>
        <v>28.8</v>
      </c>
      <c r="I40" s="6">
        <f t="shared" si="4"/>
        <v>33.299999999999997</v>
      </c>
    </row>
    <row r="42" spans="2:10" x14ac:dyDescent="0.2">
      <c r="B42" s="2" t="s">
        <v>50</v>
      </c>
      <c r="C42" s="4"/>
      <c r="D42" s="4">
        <v>2013</v>
      </c>
      <c r="E42" s="5">
        <v>2014</v>
      </c>
      <c r="F42" s="5">
        <f>E42+1</f>
        <v>2015</v>
      </c>
      <c r="G42" s="5">
        <f t="shared" ref="G42:I42" si="5">F42+1</f>
        <v>2016</v>
      </c>
      <c r="H42" s="5">
        <f t="shared" si="5"/>
        <v>2017</v>
      </c>
      <c r="I42" s="5">
        <f t="shared" si="5"/>
        <v>2018</v>
      </c>
    </row>
    <row r="44" spans="2:10" x14ac:dyDescent="0.2">
      <c r="B44" s="3" t="s">
        <v>44</v>
      </c>
      <c r="D44" s="20">
        <v>5</v>
      </c>
      <c r="E44" s="6">
        <f>D44+E72</f>
        <v>0.4</v>
      </c>
      <c r="F44" s="6">
        <f>E44+F72</f>
        <v>0.4</v>
      </c>
      <c r="G44" s="6">
        <f>F44+G72</f>
        <v>6.8</v>
      </c>
      <c r="H44" s="6">
        <f>G44+H72</f>
        <v>25.3</v>
      </c>
      <c r="I44" s="6">
        <f>H44+I72</f>
        <v>46.8</v>
      </c>
    </row>
    <row r="45" spans="2:10" x14ac:dyDescent="0.2">
      <c r="B45" s="3" t="s">
        <v>30</v>
      </c>
      <c r="D45" s="6">
        <f>'Операционный блок'!F42</f>
        <v>20</v>
      </c>
      <c r="E45" s="6">
        <f>E35*E8</f>
        <v>20.9</v>
      </c>
      <c r="F45" s="6">
        <f>F35*F8</f>
        <v>22.4</v>
      </c>
      <c r="G45" s="6">
        <f>G35*G8</f>
        <v>24</v>
      </c>
      <c r="H45" s="6">
        <f>H35*H8</f>
        <v>25.7</v>
      </c>
      <c r="I45" s="6">
        <f>I35*I8</f>
        <v>27.5</v>
      </c>
    </row>
    <row r="46" spans="2:10" x14ac:dyDescent="0.2">
      <c r="B46" s="3" t="s">
        <v>1</v>
      </c>
      <c r="D46" s="20">
        <v>200</v>
      </c>
      <c r="E46" s="6">
        <f>D46-E64-E60</f>
        <v>224.1</v>
      </c>
      <c r="F46" s="6">
        <f t="shared" ref="F46:I46" si="6">E46-F64-F60</f>
        <v>241.3</v>
      </c>
      <c r="G46" s="6">
        <f t="shared" si="6"/>
        <v>250.6</v>
      </c>
      <c r="H46" s="6">
        <f t="shared" si="6"/>
        <v>250.6</v>
      </c>
      <c r="I46" s="6">
        <f t="shared" si="6"/>
        <v>250.6</v>
      </c>
    </row>
    <row r="47" spans="2:10" x14ac:dyDescent="0.2">
      <c r="B47" s="3" t="s">
        <v>2</v>
      </c>
      <c r="D47" s="65">
        <v>15</v>
      </c>
      <c r="E47" s="10">
        <f>D47</f>
        <v>15</v>
      </c>
      <c r="F47" s="10">
        <f t="shared" ref="F47:I47" si="7">E47</f>
        <v>15</v>
      </c>
      <c r="G47" s="10">
        <f t="shared" si="7"/>
        <v>15</v>
      </c>
      <c r="H47" s="10">
        <f t="shared" si="7"/>
        <v>15</v>
      </c>
      <c r="I47" s="10">
        <f t="shared" si="7"/>
        <v>15</v>
      </c>
    </row>
    <row r="48" spans="2:10" x14ac:dyDescent="0.2">
      <c r="B48" s="17" t="s">
        <v>45</v>
      </c>
      <c r="C48" s="17"/>
      <c r="D48" s="18">
        <f>D44+D45+D46+D47</f>
        <v>240</v>
      </c>
      <c r="E48" s="18">
        <f t="shared" ref="E48:I48" si="8">E44+E45+E46+E47</f>
        <v>260.39999999999998</v>
      </c>
      <c r="F48" s="18">
        <f t="shared" si="8"/>
        <v>279.10000000000002</v>
      </c>
      <c r="G48" s="18">
        <f t="shared" si="8"/>
        <v>296.39999999999998</v>
      </c>
      <c r="H48" s="18">
        <f t="shared" si="8"/>
        <v>316.60000000000002</v>
      </c>
      <c r="I48" s="18">
        <f t="shared" si="8"/>
        <v>339.9</v>
      </c>
      <c r="J48" s="17"/>
    </row>
    <row r="49" spans="2:10" x14ac:dyDescent="0.2">
      <c r="D49" s="68"/>
      <c r="E49" s="19"/>
    </row>
    <row r="50" spans="2:10" x14ac:dyDescent="0.2">
      <c r="B50" s="3" t="s">
        <v>46</v>
      </c>
      <c r="D50" s="20">
        <v>30</v>
      </c>
      <c r="E50" s="6">
        <f>D50+E66</f>
        <v>33</v>
      </c>
      <c r="F50" s="6">
        <f t="shared" ref="F50:I50" si="9">E50+F66</f>
        <v>33</v>
      </c>
      <c r="G50" s="6">
        <f t="shared" si="9"/>
        <v>33</v>
      </c>
      <c r="H50" s="6">
        <f t="shared" si="9"/>
        <v>33</v>
      </c>
      <c r="I50" s="6">
        <f t="shared" si="9"/>
        <v>33</v>
      </c>
    </row>
    <row r="51" spans="2:10" x14ac:dyDescent="0.2">
      <c r="B51" s="3" t="s">
        <v>47</v>
      </c>
      <c r="D51" s="20">
        <v>70</v>
      </c>
      <c r="E51" s="6">
        <f>D51+E67</f>
        <v>70</v>
      </c>
      <c r="F51" s="6">
        <f t="shared" ref="F51:I51" si="10">E51+F67</f>
        <v>70</v>
      </c>
      <c r="G51" s="6">
        <f t="shared" si="10"/>
        <v>70</v>
      </c>
      <c r="H51" s="6">
        <f t="shared" si="10"/>
        <v>70</v>
      </c>
      <c r="I51" s="6">
        <f t="shared" si="10"/>
        <v>70</v>
      </c>
    </row>
    <row r="52" spans="2:10" x14ac:dyDescent="0.2">
      <c r="B52" s="3" t="s">
        <v>18</v>
      </c>
      <c r="D52" s="20">
        <v>140</v>
      </c>
      <c r="E52" s="6">
        <f>D52+E40+E68+E69</f>
        <v>157.4</v>
      </c>
      <c r="F52" s="6">
        <f>E52+F40+F68+F69</f>
        <v>176.1</v>
      </c>
      <c r="G52" s="6">
        <f>F52+G40+G68+G69</f>
        <v>193.4</v>
      </c>
      <c r="H52" s="6">
        <f>G52+H40+H68+H69</f>
        <v>213.6</v>
      </c>
      <c r="I52" s="6">
        <f>H52+I40+I68+I69</f>
        <v>236.9</v>
      </c>
    </row>
    <row r="53" spans="2:10" x14ac:dyDescent="0.2">
      <c r="B53" s="17" t="s">
        <v>48</v>
      </c>
      <c r="C53" s="17"/>
      <c r="D53" s="18">
        <f>D50+D51+D52</f>
        <v>240</v>
      </c>
      <c r="E53" s="18">
        <f t="shared" ref="E53:I53" si="11">E50+E51+E52</f>
        <v>260.39999999999998</v>
      </c>
      <c r="F53" s="18">
        <f t="shared" si="11"/>
        <v>279.10000000000002</v>
      </c>
      <c r="G53" s="18">
        <f t="shared" si="11"/>
        <v>296.39999999999998</v>
      </c>
      <c r="H53" s="18">
        <f t="shared" si="11"/>
        <v>316.60000000000002</v>
      </c>
      <c r="I53" s="18">
        <f t="shared" si="11"/>
        <v>339.9</v>
      </c>
      <c r="J53" s="17"/>
    </row>
    <row r="54" spans="2:10" x14ac:dyDescent="0.2">
      <c r="D54" s="6"/>
      <c r="E54" s="6"/>
      <c r="F54" s="6"/>
      <c r="G54" s="6"/>
      <c r="H54" s="6"/>
      <c r="I54" s="6"/>
    </row>
    <row r="55" spans="2:10" s="21" customFormat="1" x14ac:dyDescent="0.2">
      <c r="B55" s="50" t="s">
        <v>7</v>
      </c>
      <c r="C55" s="50"/>
      <c r="D55" s="51" t="str">
        <f>IF(ROUND((D53=D48),0),"Ok","Check")</f>
        <v>Ok</v>
      </c>
      <c r="E55" s="51" t="str">
        <f t="shared" ref="E55:I55" si="12">IF((E53=E48),"Ok","Check")</f>
        <v>Ok</v>
      </c>
      <c r="F55" s="51" t="str">
        <f t="shared" si="12"/>
        <v>Ok</v>
      </c>
      <c r="G55" s="51" t="str">
        <f t="shared" si="12"/>
        <v>Ok</v>
      </c>
      <c r="H55" s="51" t="str">
        <f t="shared" si="12"/>
        <v>Ok</v>
      </c>
      <c r="I55" s="51" t="str">
        <f t="shared" si="12"/>
        <v>Ok</v>
      </c>
    </row>
    <row r="57" spans="2:10" x14ac:dyDescent="0.2">
      <c r="B57" s="2" t="s">
        <v>51</v>
      </c>
      <c r="C57" s="4"/>
      <c r="D57" s="4">
        <v>2013</v>
      </c>
      <c r="E57" s="5">
        <v>2014</v>
      </c>
      <c r="F57" s="5">
        <f>E57+1</f>
        <v>2015</v>
      </c>
      <c r="G57" s="5">
        <f t="shared" ref="G57:I57" si="13">F57+1</f>
        <v>2016</v>
      </c>
      <c r="H57" s="5">
        <f t="shared" si="13"/>
        <v>2017</v>
      </c>
      <c r="I57" s="5">
        <f t="shared" si="13"/>
        <v>2018</v>
      </c>
    </row>
    <row r="59" spans="2:10" x14ac:dyDescent="0.2">
      <c r="B59" s="3" t="s">
        <v>23</v>
      </c>
      <c r="E59" s="6">
        <f>E40</f>
        <v>17.399999999999999</v>
      </c>
      <c r="F59" s="6">
        <f>F40</f>
        <v>20.8</v>
      </c>
      <c r="G59" s="6">
        <f>G40</f>
        <v>24.7</v>
      </c>
      <c r="H59" s="6">
        <f>H40</f>
        <v>28.8</v>
      </c>
      <c r="I59" s="6">
        <f>I40</f>
        <v>33.299999999999997</v>
      </c>
    </row>
    <row r="60" spans="2:10" x14ac:dyDescent="0.2">
      <c r="B60" s="3" t="s">
        <v>9</v>
      </c>
      <c r="E60" s="6">
        <f>E35*E6</f>
        <v>24.1</v>
      </c>
      <c r="F60" s="6">
        <f>F35*F6</f>
        <v>25.8</v>
      </c>
      <c r="G60" s="6">
        <f>G35*G6</f>
        <v>27.6</v>
      </c>
      <c r="H60" s="6">
        <f>H35*H6</f>
        <v>29.6</v>
      </c>
      <c r="I60" s="6">
        <f>I35*I6</f>
        <v>31.7</v>
      </c>
    </row>
    <row r="61" spans="2:10" x14ac:dyDescent="0.2">
      <c r="B61" s="3" t="s">
        <v>34</v>
      </c>
      <c r="E61" s="6">
        <f>(E45-D45)*-1</f>
        <v>-0.9</v>
      </c>
      <c r="F61" s="6">
        <f>(F45-E45)*-1</f>
        <v>-1.5</v>
      </c>
      <c r="G61" s="6">
        <f>(G45-F45)*-1</f>
        <v>-1.6</v>
      </c>
      <c r="H61" s="6">
        <f>(H45-G45)*-1</f>
        <v>-1.7</v>
      </c>
      <c r="I61" s="6">
        <f>(I45-H45)*-1</f>
        <v>-1.8</v>
      </c>
    </row>
    <row r="62" spans="2:10" x14ac:dyDescent="0.2">
      <c r="B62" s="12" t="s">
        <v>24</v>
      </c>
      <c r="C62" s="12"/>
      <c r="D62" s="12"/>
      <c r="E62" s="13">
        <f>E59+E60+E61</f>
        <v>40.6</v>
      </c>
      <c r="F62" s="13">
        <f t="shared" ref="F62:I62" si="14">F59+F60+F61</f>
        <v>45.1</v>
      </c>
      <c r="G62" s="13">
        <f t="shared" si="14"/>
        <v>50.7</v>
      </c>
      <c r="H62" s="13">
        <f t="shared" si="14"/>
        <v>56.7</v>
      </c>
      <c r="I62" s="13">
        <f t="shared" si="14"/>
        <v>63.2</v>
      </c>
    </row>
    <row r="64" spans="2:10" x14ac:dyDescent="0.2">
      <c r="B64" s="12" t="s">
        <v>31</v>
      </c>
      <c r="C64" s="12"/>
      <c r="D64" s="12"/>
      <c r="E64" s="13">
        <f>E35*E7*-1</f>
        <v>-48.2</v>
      </c>
      <c r="F64" s="13">
        <f>F35*F7*-1</f>
        <v>-43</v>
      </c>
      <c r="G64" s="13">
        <f>G35*G7*-1</f>
        <v>-36.9</v>
      </c>
      <c r="H64" s="13">
        <f>H35*H7*-1</f>
        <v>-29.6</v>
      </c>
      <c r="I64" s="13">
        <f>I35*I7*-1</f>
        <v>-31.7</v>
      </c>
    </row>
    <row r="66" spans="2:10" x14ac:dyDescent="0.2">
      <c r="B66" s="3" t="s">
        <v>15</v>
      </c>
      <c r="E66" s="20">
        <v>3</v>
      </c>
      <c r="F66" s="20"/>
      <c r="G66" s="20"/>
      <c r="H66" s="20"/>
      <c r="I66" s="20"/>
    </row>
    <row r="67" spans="2:10" x14ac:dyDescent="0.2">
      <c r="B67" s="3" t="s">
        <v>16</v>
      </c>
      <c r="E67" s="20"/>
      <c r="F67" s="20"/>
      <c r="G67" s="20"/>
      <c r="H67" s="20"/>
      <c r="I67" s="20"/>
    </row>
    <row r="68" spans="2:10" x14ac:dyDescent="0.2">
      <c r="B68" s="3" t="s">
        <v>13</v>
      </c>
      <c r="E68" s="20"/>
      <c r="F68" s="20"/>
      <c r="G68" s="20"/>
      <c r="H68" s="20"/>
      <c r="I68" s="20"/>
    </row>
    <row r="69" spans="2:10" x14ac:dyDescent="0.2">
      <c r="B69" s="3" t="s">
        <v>14</v>
      </c>
      <c r="E69" s="6">
        <f>E40*E11*-1</f>
        <v>0</v>
      </c>
      <c r="F69" s="6">
        <f t="shared" ref="F69:I69" si="15">F40*F11*-1</f>
        <v>-2.1</v>
      </c>
      <c r="G69" s="6">
        <f t="shared" si="15"/>
        <v>-7.4</v>
      </c>
      <c r="H69" s="6">
        <f t="shared" si="15"/>
        <v>-8.6</v>
      </c>
      <c r="I69" s="6">
        <f t="shared" si="15"/>
        <v>-10</v>
      </c>
    </row>
    <row r="70" spans="2:10" x14ac:dyDescent="0.2">
      <c r="B70" s="12" t="s">
        <v>52</v>
      </c>
      <c r="C70" s="12"/>
      <c r="D70" s="12"/>
      <c r="E70" s="14">
        <f>E66+E67+E68+E69</f>
        <v>3</v>
      </c>
      <c r="F70" s="14">
        <f t="shared" ref="F70:I70" si="16">F66+F67+F68+F69</f>
        <v>-2.1</v>
      </c>
      <c r="G70" s="14">
        <f t="shared" si="16"/>
        <v>-7.4</v>
      </c>
      <c r="H70" s="14">
        <f t="shared" si="16"/>
        <v>-8.6</v>
      </c>
      <c r="I70" s="14">
        <f t="shared" si="16"/>
        <v>-10</v>
      </c>
      <c r="J70" s="12"/>
    </row>
    <row r="72" spans="2:10" x14ac:dyDescent="0.2">
      <c r="B72" s="12" t="s">
        <v>53</v>
      </c>
      <c r="C72" s="12"/>
      <c r="D72" s="12"/>
      <c r="E72" s="13">
        <f>E62+E64+E70</f>
        <v>-4.5999999999999996</v>
      </c>
      <c r="F72" s="13">
        <f t="shared" ref="F72:I72" si="17">F62+F64+F70</f>
        <v>0</v>
      </c>
      <c r="G72" s="13">
        <f t="shared" si="17"/>
        <v>6.4</v>
      </c>
      <c r="H72" s="13">
        <f t="shared" si="17"/>
        <v>18.5</v>
      </c>
      <c r="I72" s="13">
        <f t="shared" si="17"/>
        <v>21.5</v>
      </c>
    </row>
    <row r="86" spans="10:12" ht="15" customHeight="1" x14ac:dyDescent="0.2"/>
    <row r="92" spans="10:12" x14ac:dyDescent="0.2">
      <c r="J92" s="8"/>
    </row>
    <row r="95" spans="10:12" x14ac:dyDescent="0.2">
      <c r="K95" s="8"/>
      <c r="L95" s="8"/>
    </row>
    <row r="98" spans="11:12" x14ac:dyDescent="0.2">
      <c r="K98" s="8"/>
      <c r="L98" s="8"/>
    </row>
    <row r="101" spans="11:12" x14ac:dyDescent="0.2">
      <c r="K101" s="8"/>
      <c r="L101" s="8"/>
    </row>
    <row r="104" spans="11:12" x14ac:dyDescent="0.2">
      <c r="K104" s="8"/>
      <c r="L104" s="8"/>
    </row>
    <row r="107" spans="11:12" x14ac:dyDescent="0.2">
      <c r="K107" s="8"/>
      <c r="L107" s="8"/>
    </row>
    <row r="110" spans="11:12" x14ac:dyDescent="0.2">
      <c r="K110" s="8"/>
      <c r="L110" s="8"/>
    </row>
    <row r="117" spans="2:9" x14ac:dyDescent="0.2">
      <c r="B117" s="7"/>
      <c r="C117" s="8"/>
      <c r="D117" s="8"/>
      <c r="E117" s="8"/>
      <c r="F117" s="8"/>
      <c r="G117" s="8"/>
      <c r="H117" s="8"/>
      <c r="I117" s="8"/>
    </row>
    <row r="118" spans="2:9" x14ac:dyDescent="0.2">
      <c r="B118" s="7"/>
      <c r="C118" s="8"/>
      <c r="D118" s="10"/>
      <c r="E118" s="10"/>
      <c r="F118" s="10"/>
      <c r="G118" s="10"/>
      <c r="H118" s="10"/>
      <c r="I118" s="10"/>
    </row>
  </sheetData>
  <dataValidations disablePrompts="1" count="1">
    <dataValidation type="list" allowBlank="1" showInputMessage="1" showErrorMessage="1" sqref="C13">
      <formula1>$C$14:$C$15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abSelected="1" topLeftCell="A24" zoomScale="130" zoomScaleNormal="130" workbookViewId="0">
      <selection activeCell="H19" sqref="H19"/>
    </sheetView>
  </sheetViews>
  <sheetFormatPr defaultRowHeight="12.75" x14ac:dyDescent="0.2"/>
  <cols>
    <col min="1" max="1" width="3.85546875" style="3" customWidth="1"/>
    <col min="2" max="2" width="42.5703125" style="3" customWidth="1"/>
    <col min="3" max="3" width="14.7109375" style="3" customWidth="1"/>
    <col min="4" max="8" width="15.85546875" style="3" customWidth="1"/>
    <col min="9" max="9" width="2.42578125" style="3" customWidth="1"/>
    <col min="10" max="11" width="12.28515625" style="3" bestFit="1" customWidth="1"/>
    <col min="12" max="16384" width="9.140625" style="3"/>
  </cols>
  <sheetData>
    <row r="1" spans="2:10" x14ac:dyDescent="0.2">
      <c r="B1" s="2"/>
      <c r="C1" s="4"/>
      <c r="D1" s="29">
        <v>0.5</v>
      </c>
      <c r="E1" s="29">
        <f>D1+1</f>
        <v>1.5</v>
      </c>
      <c r="F1" s="29">
        <f t="shared" ref="F1:H1" si="0">E1+1</f>
        <v>2.5</v>
      </c>
      <c r="G1" s="29">
        <f t="shared" si="0"/>
        <v>3.5</v>
      </c>
      <c r="H1" s="29">
        <f t="shared" si="0"/>
        <v>4.5</v>
      </c>
    </row>
    <row r="2" spans="2:10" x14ac:dyDescent="0.2">
      <c r="B2" s="2" t="s">
        <v>109</v>
      </c>
      <c r="C2" s="4"/>
      <c r="D2" s="5">
        <f>'Операционный блок'!G2</f>
        <v>2014</v>
      </c>
      <c r="E2" s="5">
        <f>'Операционный блок'!H2</f>
        <v>2015</v>
      </c>
      <c r="F2" s="5">
        <f>'Операционный блок'!I2</f>
        <v>2016</v>
      </c>
      <c r="G2" s="5">
        <f>'Операционный блок'!J2</f>
        <v>2017</v>
      </c>
      <c r="H2" s="5">
        <f>'Операционный блок'!K2</f>
        <v>2018</v>
      </c>
    </row>
    <row r="4" spans="2:10" x14ac:dyDescent="0.2">
      <c r="B4" s="3" t="s">
        <v>4</v>
      </c>
      <c r="D4" s="6">
        <f>'Финансовый блок'!E36</f>
        <v>37.9</v>
      </c>
      <c r="E4" s="6">
        <f>'Финансовый блок'!F36</f>
        <v>42.5</v>
      </c>
      <c r="F4" s="6">
        <f>'Финансовый блок'!G36</f>
        <v>47.4</v>
      </c>
      <c r="G4" s="6">
        <f>'Финансовый блок'!H36</f>
        <v>52.5</v>
      </c>
      <c r="H4" s="6">
        <f>'Финансовый блок'!I36</f>
        <v>58.1</v>
      </c>
    </row>
    <row r="5" spans="2:10" x14ac:dyDescent="0.2">
      <c r="B5" s="3" t="s">
        <v>55</v>
      </c>
      <c r="D5" s="6">
        <f>D4*(1-'Финансовый блок'!E9)</f>
        <v>30.3</v>
      </c>
      <c r="E5" s="6">
        <f>E4*(1-'Финансовый блок'!F9)</f>
        <v>34</v>
      </c>
      <c r="F5" s="6">
        <f>F4*(1-'Финансовый блок'!G9)</f>
        <v>37.9</v>
      </c>
      <c r="G5" s="6">
        <f>G4*(1-'Финансовый блок'!H9)</f>
        <v>42</v>
      </c>
      <c r="H5" s="6">
        <f>H4*(1-'Финансовый блок'!I9)</f>
        <v>46.5</v>
      </c>
    </row>
    <row r="6" spans="2:10" x14ac:dyDescent="0.2">
      <c r="B6" s="3" t="s">
        <v>9</v>
      </c>
      <c r="D6" s="6">
        <f>'Финансовый блок'!E60</f>
        <v>24.1</v>
      </c>
      <c r="E6" s="6">
        <f>'Финансовый блок'!F60</f>
        <v>25.8</v>
      </c>
      <c r="F6" s="6">
        <f>'Финансовый блок'!G60</f>
        <v>27.6</v>
      </c>
      <c r="G6" s="6">
        <f>'Финансовый блок'!H60</f>
        <v>29.6</v>
      </c>
      <c r="H6" s="6">
        <f>'Финансовый блок'!I60</f>
        <v>31.7</v>
      </c>
    </row>
    <row r="7" spans="2:10" x14ac:dyDescent="0.2">
      <c r="B7" s="3" t="s">
        <v>34</v>
      </c>
      <c r="D7" s="6">
        <f>'Финансовый блок'!E61</f>
        <v>-0.9</v>
      </c>
      <c r="E7" s="6">
        <f>'Финансовый блок'!F61</f>
        <v>-1.5</v>
      </c>
      <c r="F7" s="6">
        <f>'Финансовый блок'!G61</f>
        <v>-1.6</v>
      </c>
      <c r="G7" s="6">
        <f>'Финансовый блок'!H61</f>
        <v>-1.7</v>
      </c>
      <c r="H7" s="6">
        <f>'Финансовый блок'!I61</f>
        <v>-1.8</v>
      </c>
      <c r="J7" s="10"/>
    </row>
    <row r="8" spans="2:10" x14ac:dyDescent="0.2">
      <c r="B8" s="3" t="s">
        <v>31</v>
      </c>
      <c r="D8" s="6">
        <f>'Финансовый блок'!E64</f>
        <v>-48.2</v>
      </c>
      <c r="E8" s="6">
        <f>'Финансовый блок'!F64</f>
        <v>-43</v>
      </c>
      <c r="F8" s="6">
        <f>'Финансовый блок'!G64</f>
        <v>-36.9</v>
      </c>
      <c r="G8" s="6">
        <f>'Финансовый блок'!H64</f>
        <v>-29.6</v>
      </c>
      <c r="H8" s="6">
        <f>'Финансовый блок'!I64</f>
        <v>-31.7</v>
      </c>
    </row>
    <row r="9" spans="2:10" x14ac:dyDescent="0.2">
      <c r="B9" s="12" t="s">
        <v>56</v>
      </c>
      <c r="C9" s="12"/>
      <c r="D9" s="13">
        <f>D5+D6+D7+D8</f>
        <v>5.3</v>
      </c>
      <c r="E9" s="13">
        <f t="shared" ref="E9:H9" si="1">E5+E6+E7+E8</f>
        <v>15.3</v>
      </c>
      <c r="F9" s="13">
        <f t="shared" si="1"/>
        <v>27</v>
      </c>
      <c r="G9" s="13">
        <f t="shared" si="1"/>
        <v>40.299999999999997</v>
      </c>
      <c r="H9" s="13">
        <f t="shared" si="1"/>
        <v>44.7</v>
      </c>
    </row>
    <row r="10" spans="2:10" x14ac:dyDescent="0.2">
      <c r="B10" s="3" t="s">
        <v>10</v>
      </c>
      <c r="D10" s="23">
        <f>1/(1+$C$24)^D1</f>
        <v>0.94</v>
      </c>
      <c r="E10" s="23">
        <f>1/(1+$C$24)^E1</f>
        <v>0.83</v>
      </c>
      <c r="F10" s="23">
        <f>1/(1+$C$24)^F1</f>
        <v>0.74</v>
      </c>
      <c r="G10" s="23">
        <f>1/(1+$C$24)^G1</f>
        <v>0.66</v>
      </c>
      <c r="H10" s="23">
        <f>1/(1+$C$24)^H1</f>
        <v>0.57999999999999996</v>
      </c>
    </row>
    <row r="11" spans="2:10" x14ac:dyDescent="0.2">
      <c r="D11" s="6"/>
      <c r="E11" s="6"/>
      <c r="F11" s="6"/>
      <c r="G11" s="6"/>
      <c r="H11" s="6"/>
    </row>
    <row r="12" spans="2:10" x14ac:dyDescent="0.2">
      <c r="B12" s="2" t="s">
        <v>19</v>
      </c>
      <c r="C12" s="4"/>
      <c r="E12" s="2" t="s">
        <v>104</v>
      </c>
      <c r="F12" s="4"/>
      <c r="G12" s="4"/>
      <c r="H12" s="4"/>
    </row>
    <row r="13" spans="2:10" ht="14.25" x14ac:dyDescent="0.2">
      <c r="B13" s="3" t="s">
        <v>57</v>
      </c>
      <c r="C13" s="22">
        <v>8.5000000000000006E-2</v>
      </c>
      <c r="E13" s="3" t="s">
        <v>64</v>
      </c>
      <c r="H13" s="6">
        <f>SUMPRODUCT(D9:H9,D10:H10)</f>
        <v>90.2</v>
      </c>
    </row>
    <row r="14" spans="2:10" x14ac:dyDescent="0.2">
      <c r="B14" s="3" t="s">
        <v>58</v>
      </c>
      <c r="C14" s="24">
        <v>0.5</v>
      </c>
      <c r="E14" s="3" t="s">
        <v>25</v>
      </c>
      <c r="H14" s="30">
        <v>5</v>
      </c>
    </row>
    <row r="15" spans="2:10" x14ac:dyDescent="0.2">
      <c r="B15" s="3" t="s">
        <v>8</v>
      </c>
      <c r="C15" s="25">
        <f>('Финансовый блок'!D50+'Финансовый блок'!D51)/'Финансовый блок'!D52</f>
        <v>0.71</v>
      </c>
      <c r="E15" s="3" t="s">
        <v>26</v>
      </c>
      <c r="H15" s="6">
        <f>(H4+H6)*H14</f>
        <v>449</v>
      </c>
    </row>
    <row r="16" spans="2:10" x14ac:dyDescent="0.2">
      <c r="B16" s="3" t="s">
        <v>59</v>
      </c>
      <c r="C16" s="25">
        <f>C14*(1+(1-'Финансовый блок'!E9)*'Оценка по DCF'!C15)</f>
        <v>0.78</v>
      </c>
      <c r="E16" s="3" t="s">
        <v>65</v>
      </c>
      <c r="H16" s="6">
        <f>H15*H10</f>
        <v>260.39999999999998</v>
      </c>
    </row>
    <row r="17" spans="2:11" ht="14.25" x14ac:dyDescent="0.2">
      <c r="B17" s="3" t="s">
        <v>60</v>
      </c>
      <c r="C17" s="22">
        <v>5.5E-2</v>
      </c>
      <c r="E17" s="31" t="s">
        <v>12</v>
      </c>
      <c r="F17" s="26"/>
      <c r="G17" s="26"/>
      <c r="H17" s="31">
        <f>H13+H16</f>
        <v>350.6</v>
      </c>
    </row>
    <row r="18" spans="2:11" ht="14.25" x14ac:dyDescent="0.2">
      <c r="B18" s="3" t="s">
        <v>61</v>
      </c>
      <c r="C18" s="22"/>
      <c r="E18" s="3" t="s">
        <v>20</v>
      </c>
      <c r="H18" s="6">
        <f>'Финансовый блок'!D44</f>
        <v>5</v>
      </c>
    </row>
    <row r="19" spans="2:11" ht="14.25" x14ac:dyDescent="0.2">
      <c r="B19" s="3" t="s">
        <v>62</v>
      </c>
      <c r="C19" s="22"/>
      <c r="E19" s="3" t="s">
        <v>21</v>
      </c>
      <c r="H19" s="6">
        <f>'Финансовый блок'!D50+'Финансовый блок'!D51</f>
        <v>100</v>
      </c>
    </row>
    <row r="20" spans="2:11" x14ac:dyDescent="0.2">
      <c r="B20" s="26" t="s">
        <v>63</v>
      </c>
      <c r="C20" s="27">
        <f>C13+C16*C17+C18+C19</f>
        <v>0.128</v>
      </c>
      <c r="E20" s="3" t="s">
        <v>22</v>
      </c>
      <c r="H20" s="58">
        <v>0</v>
      </c>
      <c r="I20" s="17"/>
    </row>
    <row r="21" spans="2:11" x14ac:dyDescent="0.2">
      <c r="B21" s="26" t="s">
        <v>41</v>
      </c>
      <c r="C21" s="27">
        <f>'Финансовый блок'!E10</f>
        <v>0.16</v>
      </c>
      <c r="E21" s="31" t="s">
        <v>11</v>
      </c>
      <c r="F21" s="26"/>
      <c r="G21" s="26"/>
      <c r="H21" s="31">
        <f>H17+H18-H19-H20</f>
        <v>255.6</v>
      </c>
    </row>
    <row r="22" spans="2:11" x14ac:dyDescent="0.2">
      <c r="B22" s="3" t="s">
        <v>18</v>
      </c>
      <c r="C22" s="28">
        <f>1/(1+C15)</f>
        <v>0.58499999999999996</v>
      </c>
    </row>
    <row r="23" spans="2:11" x14ac:dyDescent="0.2">
      <c r="B23" s="3" t="s">
        <v>17</v>
      </c>
      <c r="C23" s="28">
        <f>1-C22</f>
        <v>0.41499999999999998</v>
      </c>
      <c r="I23" s="8"/>
    </row>
    <row r="24" spans="2:11" x14ac:dyDescent="0.2">
      <c r="B24" s="26" t="s">
        <v>19</v>
      </c>
      <c r="C24" s="27">
        <f>C20*C22+C21*C23*(1-'Финансовый блок'!E9)</f>
        <v>0.128</v>
      </c>
    </row>
    <row r="26" spans="2:11" x14ac:dyDescent="0.2">
      <c r="B26" s="2" t="s">
        <v>106</v>
      </c>
      <c r="C26" s="4"/>
      <c r="I26" s="32"/>
      <c r="K26" s="8"/>
    </row>
    <row r="27" spans="2:11" ht="14.25" x14ac:dyDescent="0.2">
      <c r="B27" s="3" t="s">
        <v>96</v>
      </c>
      <c r="C27" s="22">
        <v>0.02</v>
      </c>
    </row>
    <row r="28" spans="2:11" x14ac:dyDescent="0.2">
      <c r="B28" s="3" t="s">
        <v>97</v>
      </c>
      <c r="C28" s="6">
        <f>'Финансовый блок'!I35*(1+'Оценка по DCF'!C27)</f>
        <v>215.6</v>
      </c>
      <c r="E28" s="2" t="s">
        <v>105</v>
      </c>
      <c r="F28" s="4"/>
      <c r="G28" s="4"/>
      <c r="H28" s="4"/>
    </row>
    <row r="29" spans="2:11" x14ac:dyDescent="0.2">
      <c r="B29" s="3" t="s">
        <v>98</v>
      </c>
      <c r="C29" s="6">
        <f>C28*'Операционный блок'!K37</f>
        <v>59.3</v>
      </c>
      <c r="E29" s="33"/>
      <c r="F29" s="71"/>
      <c r="G29" s="71" t="s">
        <v>95</v>
      </c>
      <c r="H29" s="74"/>
      <c r="K29" s="8"/>
    </row>
    <row r="30" spans="2:11" x14ac:dyDescent="0.2">
      <c r="B30" s="3" t="s">
        <v>103</v>
      </c>
      <c r="C30" s="6">
        <f>C29*(1-'Финансовый блок'!I9)</f>
        <v>47.4</v>
      </c>
      <c r="E30" s="61">
        <f>H21</f>
        <v>255.6</v>
      </c>
      <c r="F30" s="49">
        <f>G30-1.5</f>
        <v>3.5</v>
      </c>
      <c r="G30" s="69">
        <v>5</v>
      </c>
      <c r="H30" s="72">
        <f>G30+1.5</f>
        <v>6.5</v>
      </c>
    </row>
    <row r="31" spans="2:11" x14ac:dyDescent="0.2">
      <c r="B31" s="3" t="s">
        <v>99</v>
      </c>
      <c r="C31" s="6">
        <f>C28*'Операционный блок'!K43</f>
        <v>28</v>
      </c>
      <c r="E31" s="62">
        <f>E32-2%</f>
        <v>0.108</v>
      </c>
      <c r="F31" s="70">
        <f t="dataTable" ref="F31:H33" dt2D="1" dtr="1" r1="H14" r2="C24"/>
        <v>198.4</v>
      </c>
      <c r="G31" s="70">
        <v>283.3</v>
      </c>
      <c r="H31" s="70">
        <v>368.1</v>
      </c>
    </row>
    <row r="32" spans="2:11" x14ac:dyDescent="0.2">
      <c r="B32" s="3" t="s">
        <v>34</v>
      </c>
      <c r="C32" s="10">
        <f>C31-'Операционный блок'!K42</f>
        <v>0.5</v>
      </c>
      <c r="E32" s="63">
        <v>0.128</v>
      </c>
      <c r="F32" s="70">
        <v>177.5</v>
      </c>
      <c r="G32" s="70">
        <v>255.6</v>
      </c>
      <c r="H32" s="70">
        <v>333.7</v>
      </c>
      <c r="J32" s="8"/>
      <c r="K32" s="8"/>
    </row>
    <row r="33" spans="2:11" x14ac:dyDescent="0.2">
      <c r="B33" s="3" t="s">
        <v>102</v>
      </c>
      <c r="C33" s="10">
        <f>C30-C32</f>
        <v>46.9</v>
      </c>
      <c r="D33" s="10"/>
      <c r="E33" s="64">
        <f>E32+2%</f>
        <v>0.14799999999999999</v>
      </c>
      <c r="F33" s="70">
        <v>160.30000000000001</v>
      </c>
      <c r="G33" s="70">
        <v>233.1</v>
      </c>
      <c r="H33" s="70">
        <v>305.8</v>
      </c>
    </row>
    <row r="34" spans="2:11" x14ac:dyDescent="0.2">
      <c r="B34" s="3" t="s">
        <v>100</v>
      </c>
      <c r="C34" s="10">
        <f>C33/(C24-C27)</f>
        <v>434.3</v>
      </c>
    </row>
    <row r="35" spans="2:11" x14ac:dyDescent="0.2">
      <c r="B35" s="3" t="s">
        <v>65</v>
      </c>
      <c r="C35" s="10">
        <f>C34*H10</f>
        <v>251.9</v>
      </c>
      <c r="E35" s="2" t="s">
        <v>101</v>
      </c>
      <c r="F35" s="4"/>
      <c r="G35" s="4"/>
      <c r="H35" s="4"/>
      <c r="J35" s="8"/>
      <c r="K35" s="8"/>
    </row>
    <row r="36" spans="2:11" x14ac:dyDescent="0.2">
      <c r="B36" s="31" t="s">
        <v>12</v>
      </c>
      <c r="C36" s="31">
        <f>H13+C35</f>
        <v>342.1</v>
      </c>
      <c r="E36" s="33"/>
      <c r="F36" s="71"/>
      <c r="G36" s="71" t="s">
        <v>96</v>
      </c>
      <c r="H36" s="74"/>
    </row>
    <row r="37" spans="2:11" ht="14.25" x14ac:dyDescent="0.2">
      <c r="B37" s="3" t="s">
        <v>20</v>
      </c>
      <c r="C37" s="6">
        <f>H18</f>
        <v>5</v>
      </c>
      <c r="E37" s="61">
        <f>C40</f>
        <v>247.1</v>
      </c>
      <c r="F37" s="28">
        <f>G37-1%</f>
        <v>0.01</v>
      </c>
      <c r="G37" s="22">
        <v>0.02</v>
      </c>
      <c r="H37" s="73">
        <f>G37+1%</f>
        <v>0.03</v>
      </c>
    </row>
    <row r="38" spans="2:11" x14ac:dyDescent="0.2">
      <c r="B38" s="3" t="s">
        <v>21</v>
      </c>
      <c r="C38" s="6">
        <f>H19</f>
        <v>100</v>
      </c>
      <c r="E38" s="62">
        <f>E39-2%</f>
        <v>0.108</v>
      </c>
      <c r="F38" s="70">
        <f t="dataTable" ref="F38:H40" dt2D="1" dtr="1" r1="C27" r2="C24" ca="1"/>
        <v>300.60000000000002</v>
      </c>
      <c r="G38" s="70">
        <v>336.2</v>
      </c>
      <c r="H38" s="70">
        <v>380.8</v>
      </c>
      <c r="J38" s="8"/>
      <c r="K38" s="8"/>
    </row>
    <row r="39" spans="2:11" x14ac:dyDescent="0.2">
      <c r="B39" s="3" t="s">
        <v>22</v>
      </c>
      <c r="C39" s="58">
        <v>0</v>
      </c>
      <c r="E39" s="63">
        <v>0.128</v>
      </c>
      <c r="F39" s="70">
        <v>224.8</v>
      </c>
      <c r="G39" s="70">
        <v>247.1</v>
      </c>
      <c r="H39" s="70">
        <v>273.89999999999998</v>
      </c>
    </row>
    <row r="40" spans="2:11" x14ac:dyDescent="0.2">
      <c r="B40" s="31" t="s">
        <v>11</v>
      </c>
      <c r="C40" s="31">
        <f>C36+C37-C38-C39</f>
        <v>247.1</v>
      </c>
      <c r="E40" s="64">
        <f>E39+2%</f>
        <v>0.14799999999999999</v>
      </c>
      <c r="F40" s="70">
        <v>173.3</v>
      </c>
      <c r="G40" s="70">
        <v>188.5</v>
      </c>
      <c r="H40" s="70">
        <v>206.2</v>
      </c>
    </row>
    <row r="41" spans="2:11" x14ac:dyDescent="0.2">
      <c r="J41" s="8"/>
      <c r="K41" s="8"/>
    </row>
    <row r="48" spans="2:11" x14ac:dyDescent="0.2">
      <c r="D48" s="8"/>
      <c r="E48" s="8"/>
      <c r="F48" s="8"/>
      <c r="G48" s="8"/>
      <c r="H48" s="8"/>
    </row>
    <row r="49" spans="3:8" x14ac:dyDescent="0.2">
      <c r="D49" s="10"/>
      <c r="E49" s="10"/>
      <c r="F49" s="10"/>
      <c r="G49" s="10"/>
      <c r="H49" s="10"/>
    </row>
    <row r="55" spans="3:8" x14ac:dyDescent="0.2">
      <c r="C55" s="8"/>
    </row>
    <row r="56" spans="3:8" x14ac:dyDescent="0.2">
      <c r="C56" s="8"/>
      <c r="D56" s="85"/>
    </row>
    <row r="57" spans="3:8" x14ac:dyDescent="0.2">
      <c r="C57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zoomScale="145" zoomScaleNormal="145" workbookViewId="0">
      <selection activeCell="B11" sqref="B11"/>
    </sheetView>
  </sheetViews>
  <sheetFormatPr defaultRowHeight="12.75" x14ac:dyDescent="0.2"/>
  <cols>
    <col min="1" max="1" width="3.85546875" style="3" customWidth="1"/>
    <col min="2" max="2" width="42.5703125" style="3" customWidth="1"/>
    <col min="3" max="12" width="11.7109375" style="3" customWidth="1"/>
    <col min="13" max="13" width="2.42578125" style="3" customWidth="1"/>
    <col min="14" max="15" width="12.28515625" style="3" bestFit="1" customWidth="1"/>
    <col min="16" max="16384" width="9.140625" style="3"/>
  </cols>
  <sheetData>
    <row r="1" spans="2:14" x14ac:dyDescent="0.2">
      <c r="B1" s="2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4" x14ac:dyDescent="0.2">
      <c r="B2" s="2"/>
      <c r="C2" s="5"/>
      <c r="D2" s="4">
        <f>'Операционный блок'!C2</f>
        <v>2010</v>
      </c>
      <c r="E2" s="4">
        <f>'Операционный блок'!D2</f>
        <v>2011</v>
      </c>
      <c r="F2" s="4">
        <f>'Операционный блок'!E2</f>
        <v>2012</v>
      </c>
      <c r="G2" s="4">
        <f>'Операционный блок'!F2</f>
        <v>2013</v>
      </c>
      <c r="H2" s="5">
        <f>'Оценка по DCF'!D2</f>
        <v>2014</v>
      </c>
      <c r="I2" s="5">
        <f>'Оценка по DCF'!E2</f>
        <v>2015</v>
      </c>
      <c r="J2" s="5">
        <f>'Оценка по DCF'!F2</f>
        <v>2016</v>
      </c>
      <c r="K2" s="5">
        <f>'Оценка по DCF'!G2</f>
        <v>2017</v>
      </c>
      <c r="L2" s="5">
        <f>'Оценка по DCF'!H2</f>
        <v>2018</v>
      </c>
    </row>
    <row r="3" spans="2:14" x14ac:dyDescent="0.2">
      <c r="B3" s="3" t="s">
        <v>111</v>
      </c>
      <c r="C3" s="6"/>
      <c r="D3" s="6"/>
      <c r="E3" s="8">
        <f>'Операционный блок'!D7</f>
        <v>0.2</v>
      </c>
      <c r="F3" s="8">
        <f>'Операционный блок'!E7</f>
        <v>0.16700000000000001</v>
      </c>
      <c r="G3" s="8">
        <f>'Операционный блок'!F7</f>
        <v>7.0999999999999994E-2</v>
      </c>
      <c r="H3" s="8">
        <f>'Операционный блок'!G7</f>
        <v>7.0999999999999994E-2</v>
      </c>
      <c r="I3" s="8">
        <f>'Операционный блок'!H7</f>
        <v>7.0999999999999994E-2</v>
      </c>
      <c r="J3" s="8">
        <f>'Операционный блок'!I7</f>
        <v>7.0999999999999994E-2</v>
      </c>
      <c r="K3" s="8">
        <f>'Операционный блок'!J7</f>
        <v>7.0999999999999994E-2</v>
      </c>
      <c r="L3" s="8">
        <f>'Операционный блок'!K7</f>
        <v>7.0999999999999994E-2</v>
      </c>
    </row>
    <row r="4" spans="2:14" x14ac:dyDescent="0.2">
      <c r="B4" s="3" t="s">
        <v>112</v>
      </c>
      <c r="C4" s="6"/>
      <c r="D4" s="8">
        <f>'Операционный блок'!C31</f>
        <v>0.28000000000000003</v>
      </c>
      <c r="E4" s="8">
        <f>'Операционный блок'!D31</f>
        <v>0.34200000000000003</v>
      </c>
      <c r="F4" s="8">
        <f>'Операционный блок'!E31</f>
        <v>0.379</v>
      </c>
      <c r="G4" s="8">
        <f>'Операционный блок'!F31</f>
        <v>0.373</v>
      </c>
      <c r="H4" s="8">
        <f>'Операционный блок'!G31</f>
        <v>0.38600000000000001</v>
      </c>
      <c r="I4" s="8">
        <f>'Операционный блок'!H31</f>
        <v>0.39700000000000002</v>
      </c>
      <c r="J4" s="8">
        <f>'Операционный блок'!I31</f>
        <v>0.40699999999999997</v>
      </c>
      <c r="K4" s="8">
        <f>'Операционный блок'!J31</f>
        <v>0.41599999999999998</v>
      </c>
      <c r="L4" s="8">
        <f>'Операционный блок'!K31</f>
        <v>0.42499999999999999</v>
      </c>
    </row>
    <row r="5" spans="2:14" x14ac:dyDescent="0.2">
      <c r="B5" s="3" t="s">
        <v>113</v>
      </c>
      <c r="C5" s="6"/>
      <c r="D5" s="6"/>
      <c r="E5" s="8">
        <f>'Операционный блок'!D30/'Операционный блок'!C30-1</f>
        <v>0.46400000000000002</v>
      </c>
      <c r="F5" s="8">
        <f>'Операционный блок'!E30/'Операционный блок'!D30-1</f>
        <v>0.29299999999999998</v>
      </c>
      <c r="G5" s="8">
        <f>'Операционный блок'!F30/'Операционный блок'!E30-1</f>
        <v>5.7000000000000002E-2</v>
      </c>
      <c r="H5" s="8">
        <f>'Операционный блок'!G30/'Операционный блок'!F30-1</f>
        <v>0.109</v>
      </c>
      <c r="I5" s="8">
        <f>'Операционный блок'!H30/'Операционный блок'!G30-1</f>
        <v>0.1</v>
      </c>
      <c r="J5" s="8">
        <f>'Операционный блок'!I30/'Операционный блок'!H30-1</f>
        <v>9.8000000000000004E-2</v>
      </c>
      <c r="K5" s="8">
        <f>'Операционный блок'!J30/'Операционный блок'!I30-1</f>
        <v>9.5000000000000001E-2</v>
      </c>
      <c r="L5" s="8">
        <f>'Операционный блок'!K30/'Операционный блок'!J30-1</f>
        <v>9.5000000000000001E-2</v>
      </c>
    </row>
    <row r="6" spans="2:14" x14ac:dyDescent="0.2">
      <c r="B6" s="3" t="s">
        <v>110</v>
      </c>
      <c r="D6" s="84">
        <f>-'Операционный блок'!C39/'Операционный блок'!C33</f>
        <v>3</v>
      </c>
      <c r="E6" s="84">
        <f>-'Операционный блок'!D39/'Операционный блок'!D33</f>
        <v>2.2999999999999998</v>
      </c>
      <c r="F6" s="84">
        <f>-'Операционный блок'!E39/'Операционный блок'!E33</f>
        <v>2</v>
      </c>
      <c r="G6" s="84">
        <f>-'Операционный блок'!F39/'Операционный блок'!F33</f>
        <v>1.8</v>
      </c>
      <c r="H6" s="84">
        <f>-'Операционный блок'!G39/'Операционный блок'!G33</f>
        <v>2</v>
      </c>
      <c r="I6" s="84">
        <f>-'Операционный блок'!H39/'Операционный блок'!H33</f>
        <v>1.7</v>
      </c>
      <c r="J6" s="84">
        <f>-'Операционный блок'!I39/'Операционный блок'!I33</f>
        <v>1.3</v>
      </c>
      <c r="K6" s="84">
        <f>-'Операционный блок'!J39/'Операционный блок'!J33</f>
        <v>1</v>
      </c>
      <c r="L6" s="84">
        <f>-'Операционный блок'!K39/'Операционный блок'!K33</f>
        <v>1</v>
      </c>
    </row>
    <row r="7" spans="2:14" x14ac:dyDescent="0.2">
      <c r="B7" s="3" t="s">
        <v>117</v>
      </c>
      <c r="C7" s="6"/>
      <c r="D7" s="6"/>
      <c r="E7" s="6"/>
      <c r="F7" s="6"/>
      <c r="H7" s="8">
        <f>'Финансовый блок'!E40/'Финансовый блок'!D52</f>
        <v>0.124</v>
      </c>
      <c r="I7" s="8">
        <f>'Финансовый блок'!F40/'Финансовый блок'!E52</f>
        <v>0.13200000000000001</v>
      </c>
      <c r="J7" s="8">
        <f>'Финансовый блок'!G40/'Финансовый блок'!F52</f>
        <v>0.14000000000000001</v>
      </c>
      <c r="K7" s="8">
        <f>'Финансовый блок'!H40/'Финансовый блок'!G52</f>
        <v>0.14899999999999999</v>
      </c>
      <c r="L7" s="8">
        <f>'Финансовый блок'!I40/'Финансовый блок'!H52</f>
        <v>0.156</v>
      </c>
    </row>
    <row r="8" spans="2:14" x14ac:dyDescent="0.2">
      <c r="B8" s="3" t="s">
        <v>116</v>
      </c>
      <c r="C8" s="6"/>
      <c r="D8" s="6"/>
      <c r="E8" s="6"/>
      <c r="F8" s="6"/>
      <c r="G8" s="6"/>
      <c r="H8" s="8">
        <f>'Оценка по DCF'!C20</f>
        <v>0.128</v>
      </c>
      <c r="I8" s="8">
        <f>H8</f>
        <v>0.128</v>
      </c>
      <c r="J8" s="8">
        <f t="shared" ref="J8:L8" si="0">I8</f>
        <v>0.128</v>
      </c>
      <c r="K8" s="8">
        <f t="shared" si="0"/>
        <v>0.128</v>
      </c>
      <c r="L8" s="8">
        <f t="shared" si="0"/>
        <v>0.128</v>
      </c>
    </row>
    <row r="9" spans="2:14" x14ac:dyDescent="0.2">
      <c r="B9" s="3" t="s">
        <v>118</v>
      </c>
      <c r="C9" s="6"/>
      <c r="D9" s="6"/>
      <c r="E9" s="6"/>
      <c r="F9" s="6"/>
      <c r="G9" s="6"/>
      <c r="H9" s="8">
        <f>H7-H8</f>
        <v>-4.0000000000000001E-3</v>
      </c>
      <c r="I9" s="8">
        <f t="shared" ref="I9:L9" si="1">I7-I8</f>
        <v>4.0000000000000001E-3</v>
      </c>
      <c r="J9" s="8">
        <f t="shared" si="1"/>
        <v>1.2E-2</v>
      </c>
      <c r="K9" s="8">
        <f t="shared" si="1"/>
        <v>2.1000000000000001E-2</v>
      </c>
      <c r="L9" s="8">
        <f t="shared" si="1"/>
        <v>2.8000000000000001E-2</v>
      </c>
    </row>
    <row r="10" spans="2:14" x14ac:dyDescent="0.2">
      <c r="B10" s="3" t="s">
        <v>119</v>
      </c>
      <c r="C10" s="6"/>
      <c r="D10" s="6"/>
      <c r="E10" s="6"/>
      <c r="F10" s="6"/>
      <c r="G10" s="6"/>
      <c r="H10" s="6">
        <f>H9*'Финансовый блок'!D52</f>
        <v>-0.6</v>
      </c>
      <c r="I10" s="6">
        <f>I9*'Финансовый блок'!E52</f>
        <v>0.6</v>
      </c>
      <c r="J10" s="6">
        <f>J9*'Финансовый блок'!F52</f>
        <v>2.1</v>
      </c>
      <c r="K10" s="6">
        <f>K9*'Финансовый блок'!G52</f>
        <v>4.0999999999999996</v>
      </c>
      <c r="L10" s="6">
        <f>L9*'Финансовый блок'!H52</f>
        <v>6</v>
      </c>
      <c r="N10" s="10"/>
    </row>
    <row r="11" spans="2:14" x14ac:dyDescent="0.2"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2:14" x14ac:dyDescent="0.2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4" x14ac:dyDescent="0.2"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Допущения</vt:lpstr>
      <vt:lpstr>Операционный блок</vt:lpstr>
      <vt:lpstr>Финансовый блок</vt:lpstr>
      <vt:lpstr>Оценка по DCF</vt:lpstr>
      <vt:lpstr>Аналитический блок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Rgg Capital</dc:creator>
  <cp:lastModifiedBy>Teimuraz</cp:lastModifiedBy>
  <cp:lastPrinted>2014-02-04T07:45:05Z</cp:lastPrinted>
  <dcterms:created xsi:type="dcterms:W3CDTF">2014-01-31T13:54:34Z</dcterms:created>
  <dcterms:modified xsi:type="dcterms:W3CDTF">2014-09-27T06:57:13Z</dcterms:modified>
</cp:coreProperties>
</file>